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lua\SMVO_LICITACAO\2-MAPIM\"/>
    </mc:Choice>
  </mc:AlternateContent>
  <xr:revisionPtr revIDLastSave="0" documentId="13_ncr:1_{BB966610-1F68-4341-9889-AD1A13A219A2}" xr6:coauthVersionLast="47" xr6:coauthVersionMax="47" xr10:uidLastSave="{00000000-0000-0000-0000-000000000000}"/>
  <bookViews>
    <workbookView xWindow="-120" yWindow="-120" windowWidth="29040" windowHeight="15840" tabRatio="793" activeTab="2" xr2:uid="{00000000-000D-0000-FFFF-FFFF00000000}"/>
  </bookViews>
  <sheets>
    <sheet name="RESUMO" sheetId="5" r:id="rId1"/>
    <sheet name="QUANT" sheetId="2" r:id="rId2"/>
    <sheet name="ORÇA " sheetId="4" r:id="rId3"/>
    <sheet name="TRANSP" sheetId="3" r:id="rId4"/>
    <sheet name="CFF" sheetId="31" r:id="rId5"/>
    <sheet name="MEMORIAL DE CALCULO" sheetId="8" r:id="rId6"/>
    <sheet name="NS Bueiros" sheetId="44" r:id="rId7"/>
    <sheet name="TERRAP E PAVIM" sheetId="19" r:id="rId8"/>
    <sheet name="BDI" sheetId="22" r:id="rId9"/>
    <sheet name="BDI DIFERENCIADO" sheetId="33" r:id="rId10"/>
    <sheet name="ALUGUEL" sheetId="39" state="hidden" r:id="rId11"/>
    <sheet name="COMP." sheetId="41" r:id="rId12"/>
    <sheet name="REAJUSTAMENTO" sheetId="40" r:id="rId13"/>
    <sheet name="SN HOR1" sheetId="45" r:id="rId14"/>
    <sheet name="SN VERT1" sheetId="46" r:id="rId15"/>
  </sheets>
  <externalReferences>
    <externalReference r:id="rId16"/>
    <externalReference r:id="rId17"/>
  </externalReferences>
  <definedNames>
    <definedName name="_xlnm.Print_Area" localSheetId="11">'COMP.'!$B$2:$V$523</definedName>
    <definedName name="_xlnm.Print_Area" localSheetId="6">'NS Bueiros'!$B$2:$Y$24</definedName>
    <definedName name="_xlnm.Print_Area" localSheetId="2">'ORÇA '!$A$1:$J$70</definedName>
    <definedName name="_xlnm.Print_Area" localSheetId="1">QUANT!$C$2:$G$53</definedName>
    <definedName name="_xlnm.Print_Area" localSheetId="3">TRANSP!#REF!</definedName>
    <definedName name="f">'[1]Seções Tipo'!$B$10:$D$38</definedName>
    <definedName name="_xlnm.Print_Titles" localSheetId="2">'ORÇA '!$1:$8</definedName>
    <definedName name="_xlnm.Print_Titles" localSheetId="1">QUANT!$2:$7</definedName>
    <definedName name="Z_E8D46A29_8D28_49CA_936A_9705D639E1C7_.wvu.PrintArea" localSheetId="2" hidden="1">'ORÇA '!$B$1:$J$54</definedName>
  </definedNames>
  <calcPr calcId="191029"/>
  <customWorkbookViews>
    <customWorkbookView name="PENTIUM - Modo de exibição pessoal" guid="{96D85DE4-FE1B-11D2-8AAF-0040C72A12C5}" mergeInterval="0" personalView="1" maximized="1" windowWidth="796" windowHeight="411" tabRatio="857" activeSheetId="3"/>
    <customWorkbookView name="Máquina1 - Modo de exibição pessoal" guid="{EE864208-5880-11D2-88BD-0040C708D492}" mergeInterval="0" personalView="1" maximized="1" windowWidth="796" windowHeight="411" tabRatio="857" activeSheetId="4" showComments="commIndAndComment"/>
    <customWorkbookView name="Máquina2 - Modo de exibição pessoal" guid="{F1F53240-5C6B-11D2-88BD-0040C72A12C5}" mergeInterval="0" personalView="1" maximized="1" windowWidth="796" windowHeight="411" tabRatio="857" activeSheetId="5"/>
    <customWorkbookView name="&lt;: - Modo de exibição pessoal" guid="{AFF92C80-53BE-11D2-88E1-0040C72A12C5}" mergeInterval="0" personalView="1" maximized="1" windowWidth="796" windowHeight="400" tabRatio="857" activeSheetId="3"/>
    <customWorkbookView name="ECP - Modo de exibição pessoal" guid="{0C989940-19FB-11D4-B636-00D0093DDF73}" mergeInterval="0" personalView="1" maximized="1" windowWidth="796" windowHeight="438" tabRatio="857" activeSheetId="3"/>
    <customWorkbookView name="joão - Modo de exibição pessoal" guid="{E8D46A29-8D28-49CA-936A-9705D639E1C7}" mergeInterval="0" personalView="1" maximized="1" xWindow="1" yWindow="1" windowWidth="1600" windowHeight="610" tabRatio="857" activeSheetId="3"/>
  </customWorkbookViews>
</workbook>
</file>

<file path=xl/calcChain.xml><?xml version="1.0" encoding="utf-8"?>
<calcChain xmlns="http://schemas.openxmlformats.org/spreadsheetml/2006/main">
  <c r="A36" i="4" l="1"/>
  <c r="A37" i="4"/>
  <c r="A38" i="4"/>
  <c r="A39" i="4"/>
  <c r="A40" i="4"/>
  <c r="A41" i="4"/>
  <c r="A33" i="4"/>
  <c r="A34" i="4"/>
  <c r="A35" i="4"/>
  <c r="G50" i="2"/>
  <c r="L71" i="4"/>
  <c r="E69" i="4" l="1"/>
  <c r="D69" i="4"/>
  <c r="C69" i="4"/>
  <c r="B68" i="4"/>
  <c r="B69" i="4"/>
  <c r="A69" i="4"/>
  <c r="G70" i="2"/>
  <c r="F69" i="4" s="1"/>
  <c r="G69" i="2"/>
  <c r="S16" i="19"/>
  <c r="R16" i="19"/>
  <c r="P16" i="19"/>
  <c r="O16" i="19"/>
  <c r="N14" i="19"/>
  <c r="I14" i="19"/>
  <c r="G68" i="2"/>
  <c r="F67" i="4" s="1"/>
  <c r="G66" i="2"/>
  <c r="G51" i="2"/>
  <c r="G44" i="2"/>
  <c r="E19" i="46"/>
  <c r="G46" i="2" s="1"/>
  <c r="E15" i="46"/>
  <c r="E14" i="46"/>
  <c r="E11" i="46"/>
  <c r="E10" i="46"/>
  <c r="E7" i="46"/>
  <c r="E6" i="46"/>
  <c r="C69" i="45"/>
  <c r="C64" i="45"/>
  <c r="C59" i="45"/>
  <c r="E55" i="45"/>
  <c r="C54" i="45"/>
  <c r="E54" i="45" s="1"/>
  <c r="C52" i="45"/>
  <c r="E52" i="45" s="1"/>
  <c r="E49" i="45"/>
  <c r="C48" i="45"/>
  <c r="E48" i="45" s="1"/>
  <c r="E46" i="45"/>
  <c r="C46" i="45"/>
  <c r="E43" i="45"/>
  <c r="F59" i="45" s="1"/>
  <c r="C67" i="45" s="1"/>
  <c r="C42" i="45"/>
  <c r="C58" i="45" s="1"/>
  <c r="C40" i="45"/>
  <c r="E40" i="45" s="1"/>
  <c r="E37" i="45"/>
  <c r="C36" i="45"/>
  <c r="E36" i="45" s="1"/>
  <c r="E34" i="45"/>
  <c r="C33" i="45"/>
  <c r="E33" i="45" s="1"/>
  <c r="E31" i="45"/>
  <c r="C30" i="45"/>
  <c r="E30" i="45" s="1"/>
  <c r="E28" i="45"/>
  <c r="C27" i="45"/>
  <c r="E27" i="45" s="1"/>
  <c r="E25" i="45"/>
  <c r="C24" i="45"/>
  <c r="E24" i="45" s="1"/>
  <c r="E22" i="45"/>
  <c r="C21" i="45"/>
  <c r="E21" i="45" s="1"/>
  <c r="C19" i="45"/>
  <c r="E19" i="45" s="1"/>
  <c r="C18" i="45"/>
  <c r="E18" i="45" s="1"/>
  <c r="E16" i="45"/>
  <c r="C15" i="45"/>
  <c r="E15" i="45" s="1"/>
  <c r="E13" i="45"/>
  <c r="C12" i="45"/>
  <c r="E12" i="45" s="1"/>
  <c r="E10" i="45"/>
  <c r="E9" i="45"/>
  <c r="C9" i="45"/>
  <c r="E7" i="45"/>
  <c r="C6" i="45"/>
  <c r="E6" i="45" s="1"/>
  <c r="B64" i="4"/>
  <c r="B65" i="4"/>
  <c r="B66" i="4"/>
  <c r="B67" i="4"/>
  <c r="A66" i="4"/>
  <c r="C66" i="4"/>
  <c r="D66" i="4"/>
  <c r="E66" i="4"/>
  <c r="A67" i="4"/>
  <c r="C67" i="4"/>
  <c r="D67" i="4"/>
  <c r="E67" i="4"/>
  <c r="I45" i="3"/>
  <c r="I13" i="3"/>
  <c r="E29" i="8"/>
  <c r="AD10" i="44"/>
  <c r="AC10" i="44"/>
  <c r="E15" i="44"/>
  <c r="G67" i="2" s="1"/>
  <c r="F66" i="4" s="1"/>
  <c r="E14" i="44"/>
  <c r="E21" i="8" s="1"/>
  <c r="G37" i="41"/>
  <c r="G57" i="41" s="1"/>
  <c r="G77" i="41" s="1"/>
  <c r="G98" i="41" s="1"/>
  <c r="G119" i="41" s="1"/>
  <c r="G135" i="41" s="1"/>
  <c r="G151" i="41" s="1"/>
  <c r="G167" i="41" s="1"/>
  <c r="G183" i="41" s="1"/>
  <c r="G204" i="41" s="1"/>
  <c r="G229" i="41" s="1"/>
  <c r="G254" i="41" s="1"/>
  <c r="G275" i="41" s="1"/>
  <c r="G293" i="41" s="1"/>
  <c r="G317" i="41" s="1"/>
  <c r="G332" i="41" s="1"/>
  <c r="G347" i="41" s="1"/>
  <c r="G367" i="41" s="1"/>
  <c r="G383" i="41" s="1"/>
  <c r="G420" i="41" s="1"/>
  <c r="G437" i="41" s="1"/>
  <c r="G455" i="41" s="1"/>
  <c r="G471" i="41" s="1"/>
  <c r="G487" i="41" s="1"/>
  <c r="G505" i="41" s="1"/>
  <c r="G22" i="41"/>
  <c r="AD9" i="44"/>
  <c r="AF9" i="44" s="1"/>
  <c r="AC9" i="44"/>
  <c r="G10" i="44"/>
  <c r="R10" i="44"/>
  <c r="V10" i="44"/>
  <c r="C14" i="44"/>
  <c r="T13" i="44"/>
  <c r="V9" i="44"/>
  <c r="V16" i="44" s="1"/>
  <c r="R9" i="44"/>
  <c r="G9" i="44"/>
  <c r="W14" i="19" l="1"/>
  <c r="E18" i="46"/>
  <c r="G45" i="2" s="1"/>
  <c r="C65" i="45"/>
  <c r="C60" i="45"/>
  <c r="C63" i="45"/>
  <c r="E42" i="45"/>
  <c r="F58" i="45" s="1"/>
  <c r="W9" i="44"/>
  <c r="F60" i="45" l="1"/>
  <c r="C66" i="45"/>
  <c r="C68" i="45" s="1"/>
  <c r="G43" i="2" s="1"/>
  <c r="AF10" i="44"/>
  <c r="W10" i="44"/>
  <c r="X10" i="44" s="1"/>
  <c r="X9" i="44"/>
  <c r="E28" i="8"/>
  <c r="A64" i="4"/>
  <c r="C64" i="4"/>
  <c r="D64" i="4"/>
  <c r="E64" i="4"/>
  <c r="A65" i="4"/>
  <c r="C65" i="4"/>
  <c r="D65" i="4"/>
  <c r="E65" i="4"/>
  <c r="A68" i="4"/>
  <c r="C68" i="4"/>
  <c r="D68" i="4"/>
  <c r="E68" i="4"/>
  <c r="A63" i="4"/>
  <c r="B63" i="4"/>
  <c r="C63" i="4"/>
  <c r="D63" i="4"/>
  <c r="E63" i="4"/>
  <c r="X16" i="44" l="1"/>
  <c r="E25" i="8" s="1"/>
  <c r="Y9" i="44"/>
  <c r="W16" i="44"/>
  <c r="E24" i="8" s="1"/>
  <c r="Y10" i="44"/>
  <c r="Y16" i="44" l="1"/>
  <c r="E27" i="8"/>
  <c r="F68" i="4"/>
  <c r="G65" i="2"/>
  <c r="F64" i="4" s="1"/>
  <c r="F65" i="4"/>
  <c r="G64" i="2"/>
  <c r="F63" i="4" s="1"/>
  <c r="B39" i="3"/>
  <c r="D26" i="8" l="1"/>
  <c r="K7" i="8"/>
  <c r="I7" i="8"/>
  <c r="J7" i="8" s="1"/>
  <c r="E32" i="8" l="1"/>
  <c r="E26" i="8"/>
  <c r="E30" i="8" s="1"/>
  <c r="G56" i="2"/>
  <c r="G60" i="2" l="1"/>
  <c r="E33" i="8"/>
  <c r="E31" i="8"/>
  <c r="G57" i="2" s="1"/>
  <c r="I12" i="19" l="1"/>
  <c r="X12" i="19" s="1"/>
  <c r="X16" i="19" s="1"/>
  <c r="I10" i="19"/>
  <c r="X10" i="19" l="1"/>
  <c r="T10" i="19"/>
  <c r="T12" i="19"/>
  <c r="N12" i="19"/>
  <c r="N16" i="19" s="1"/>
  <c r="N10" i="19"/>
  <c r="V12" i="19" l="1"/>
  <c r="I8" i="19"/>
  <c r="X8" i="19" s="1"/>
  <c r="I16" i="19" l="1"/>
  <c r="I18" i="19" s="1"/>
  <c r="N8" i="19"/>
  <c r="V8" i="19"/>
  <c r="Q8" i="19"/>
  <c r="U10" i="19"/>
  <c r="W10" i="19" s="1"/>
  <c r="T8" i="19"/>
  <c r="T16" i="19" s="1"/>
  <c r="G32" i="2" s="1"/>
  <c r="Q10" i="19"/>
  <c r="Q12" i="19"/>
  <c r="U8" i="19"/>
  <c r="V10" i="19"/>
  <c r="U12" i="19"/>
  <c r="W12" i="19" s="1"/>
  <c r="U16" i="19" l="1"/>
  <c r="Q16" i="19"/>
  <c r="V16" i="19"/>
  <c r="W8" i="19"/>
  <c r="W16" i="19" s="1"/>
  <c r="D39" i="3"/>
  <c r="S511" i="41" l="1"/>
  <c r="S512" i="41"/>
  <c r="S513" i="41"/>
  <c r="S514" i="41"/>
  <c r="S510" i="41"/>
  <c r="S509" i="41"/>
  <c r="S515" i="41" l="1"/>
  <c r="S517" i="41" s="1"/>
  <c r="S518" i="41" l="1"/>
  <c r="S519" i="41" s="1"/>
  <c r="B7" i="19" l="1"/>
  <c r="S492" i="41" l="1"/>
  <c r="S493" i="41"/>
  <c r="S494" i="41"/>
  <c r="S495" i="41"/>
  <c r="S491" i="41"/>
  <c r="S476" i="41"/>
  <c r="S475" i="41"/>
  <c r="S477" i="41" s="1"/>
  <c r="S479" i="41" s="1"/>
  <c r="S480" i="41" s="1"/>
  <c r="S460" i="41"/>
  <c r="S461" i="41"/>
  <c r="S459" i="41"/>
  <c r="S442" i="41"/>
  <c r="S443" i="41"/>
  <c r="S444" i="41"/>
  <c r="S445" i="41"/>
  <c r="S441" i="41"/>
  <c r="S425" i="41"/>
  <c r="S426" i="41"/>
  <c r="S427" i="41"/>
  <c r="S424" i="41"/>
  <c r="S407" i="41"/>
  <c r="S408" i="41"/>
  <c r="S409" i="41"/>
  <c r="S410" i="41"/>
  <c r="S406" i="41"/>
  <c r="S388" i="41"/>
  <c r="S389" i="41"/>
  <c r="S390" i="41"/>
  <c r="S391" i="41"/>
  <c r="S392" i="41"/>
  <c r="S387" i="41"/>
  <c r="S372" i="41"/>
  <c r="S373" i="41"/>
  <c r="S371" i="41"/>
  <c r="S352" i="41"/>
  <c r="S353" i="41"/>
  <c r="S354" i="41"/>
  <c r="S355" i="41"/>
  <c r="S356" i="41"/>
  <c r="S357" i="41"/>
  <c r="S351" i="41"/>
  <c r="S336" i="41"/>
  <c r="S337" i="41" s="1"/>
  <c r="S339" i="41" s="1"/>
  <c r="S340" i="41" s="1"/>
  <c r="S321" i="41"/>
  <c r="S322" i="41" s="1"/>
  <c r="S324" i="41" s="1"/>
  <c r="S298" i="41"/>
  <c r="S299" i="41"/>
  <c r="S300" i="41"/>
  <c r="S301" i="41"/>
  <c r="S302" i="41"/>
  <c r="S303" i="41"/>
  <c r="S304" i="41"/>
  <c r="S305" i="41"/>
  <c r="S306" i="41"/>
  <c r="S307" i="41"/>
  <c r="S297" i="41"/>
  <c r="S280" i="41"/>
  <c r="S281" i="41"/>
  <c r="S282" i="41"/>
  <c r="S283" i="41"/>
  <c r="S279" i="41"/>
  <c r="S259" i="41"/>
  <c r="S260" i="41"/>
  <c r="S261" i="41"/>
  <c r="S262" i="41"/>
  <c r="S263" i="41"/>
  <c r="S264" i="41"/>
  <c r="S265" i="41"/>
  <c r="S258" i="41"/>
  <c r="S234" i="41"/>
  <c r="S235" i="41"/>
  <c r="S236" i="41"/>
  <c r="S237" i="41"/>
  <c r="S238" i="41"/>
  <c r="S239" i="41"/>
  <c r="S240" i="41"/>
  <c r="S241" i="41"/>
  <c r="S242" i="41"/>
  <c r="S243" i="41"/>
  <c r="S244" i="41"/>
  <c r="S245" i="41"/>
  <c r="S233" i="41"/>
  <c r="S209" i="41"/>
  <c r="S210" i="41"/>
  <c r="S211" i="41"/>
  <c r="S212" i="41"/>
  <c r="S213" i="41"/>
  <c r="S214" i="41"/>
  <c r="S215" i="41"/>
  <c r="S216" i="41"/>
  <c r="S217" i="41"/>
  <c r="S218" i="41"/>
  <c r="S219" i="41"/>
  <c r="S220" i="41"/>
  <c r="S208" i="41"/>
  <c r="S188" i="41"/>
  <c r="S189" i="41"/>
  <c r="S190" i="41"/>
  <c r="S191" i="41"/>
  <c r="S192" i="41"/>
  <c r="S193" i="41"/>
  <c r="S194" i="41"/>
  <c r="S187" i="41"/>
  <c r="S172" i="41"/>
  <c r="S171" i="41"/>
  <c r="S173" i="41" s="1"/>
  <c r="S175" i="41" s="1"/>
  <c r="S176" i="41" s="1"/>
  <c r="S156" i="41"/>
  <c r="S155" i="41"/>
  <c r="S157" i="41" s="1"/>
  <c r="S159" i="41" s="1"/>
  <c r="S140" i="41"/>
  <c r="S139" i="41"/>
  <c r="S141" i="41" s="1"/>
  <c r="S143" i="41" s="1"/>
  <c r="S144" i="41" s="1"/>
  <c r="S124" i="41"/>
  <c r="S123" i="41"/>
  <c r="S42" i="41"/>
  <c r="S43" i="41"/>
  <c r="S44" i="41"/>
  <c r="S45" i="41"/>
  <c r="S46" i="41"/>
  <c r="S47" i="41"/>
  <c r="S41" i="41"/>
  <c r="S26" i="41"/>
  <c r="S27" i="41" s="1"/>
  <c r="S29" i="41" s="1"/>
  <c r="S7" i="41"/>
  <c r="S8" i="41"/>
  <c r="S9" i="41"/>
  <c r="S10" i="41"/>
  <c r="S11" i="41"/>
  <c r="S12" i="41"/>
  <c r="S6" i="41"/>
  <c r="S428" i="41" l="1"/>
  <c r="S430" i="41" s="1"/>
  <c r="S284" i="41"/>
  <c r="S286" i="41" s="1"/>
  <c r="S462" i="41"/>
  <c r="S464" i="41" s="1"/>
  <c r="S465" i="41" s="1"/>
  <c r="S221" i="41"/>
  <c r="S223" i="41" s="1"/>
  <c r="S224" i="41" s="1"/>
  <c r="S246" i="41"/>
  <c r="S248" i="41" s="1"/>
  <c r="S249" i="41" s="1"/>
  <c r="S13" i="41"/>
  <c r="S15" i="41" s="1"/>
  <c r="S16" i="41" s="1"/>
  <c r="S195" i="41"/>
  <c r="S197" i="41" s="1"/>
  <c r="S198" i="41" s="1"/>
  <c r="S199" i="41" s="1"/>
  <c r="S358" i="41"/>
  <c r="S360" i="41" s="1"/>
  <c r="S361" i="41" s="1"/>
  <c r="S125" i="41"/>
  <c r="S127" i="41" s="1"/>
  <c r="S128" i="41" s="1"/>
  <c r="S129" i="41" s="1"/>
  <c r="S48" i="41"/>
  <c r="S50" i="41" s="1"/>
  <c r="S51" i="41" s="1"/>
  <c r="S52" i="41" s="1"/>
  <c r="S431" i="41"/>
  <c r="S432" i="41" s="1"/>
  <c r="S287" i="41"/>
  <c r="S288" i="41" s="1"/>
  <c r="S325" i="41"/>
  <c r="S326" i="41" s="1"/>
  <c r="S160" i="41"/>
  <c r="S161" i="41" s="1"/>
  <c r="S374" i="41"/>
  <c r="S376" i="41" s="1"/>
  <c r="S377" i="41" s="1"/>
  <c r="S446" i="41"/>
  <c r="S448" i="41" s="1"/>
  <c r="S449" i="41" s="1"/>
  <c r="S30" i="41"/>
  <c r="S31" i="41" s="1"/>
  <c r="S266" i="41"/>
  <c r="S268" i="41" s="1"/>
  <c r="S308" i="41"/>
  <c r="S310" i="41" s="1"/>
  <c r="S311" i="41" s="1"/>
  <c r="S496" i="41"/>
  <c r="S498" i="41" s="1"/>
  <c r="S411" i="41"/>
  <c r="S413" i="41" s="1"/>
  <c r="S393" i="41"/>
  <c r="S395" i="41" s="1"/>
  <c r="S177" i="41"/>
  <c r="S481" i="41"/>
  <c r="S466" i="41"/>
  <c r="S341" i="41"/>
  <c r="S145" i="41"/>
  <c r="S250" i="41" l="1"/>
  <c r="S225" i="41"/>
  <c r="S17" i="41"/>
  <c r="S362" i="41"/>
  <c r="S414" i="41"/>
  <c r="S415" i="41" s="1"/>
  <c r="S450" i="41"/>
  <c r="S499" i="41"/>
  <c r="S500" i="41" s="1"/>
  <c r="S312" i="41"/>
  <c r="S269" i="41"/>
  <c r="S270" i="41" s="1"/>
  <c r="S378" i="41"/>
  <c r="S396" i="41"/>
  <c r="S397" i="41" s="1"/>
  <c r="D4" i="4"/>
  <c r="G60" i="4" l="1"/>
  <c r="G59" i="4"/>
  <c r="A62" i="4" l="1"/>
  <c r="D62" i="4"/>
  <c r="C33" i="5" s="1"/>
  <c r="B55" i="4"/>
  <c r="C55" i="4"/>
  <c r="D55" i="4"/>
  <c r="E55" i="4"/>
  <c r="B56" i="4"/>
  <c r="C56" i="4"/>
  <c r="D56" i="4"/>
  <c r="E56" i="4"/>
  <c r="B57" i="4"/>
  <c r="C57" i="4"/>
  <c r="D57" i="4"/>
  <c r="E57" i="4"/>
  <c r="B58" i="4"/>
  <c r="C58" i="4"/>
  <c r="D58" i="4"/>
  <c r="E58" i="4"/>
  <c r="B59" i="4"/>
  <c r="C59" i="4"/>
  <c r="D59" i="4"/>
  <c r="E59" i="4"/>
  <c r="B60" i="4"/>
  <c r="C60" i="4"/>
  <c r="D60" i="4"/>
  <c r="E60" i="4"/>
  <c r="B33" i="5"/>
  <c r="F56" i="4" l="1"/>
  <c r="F55" i="4" l="1"/>
  <c r="G61" i="2"/>
  <c r="F60" i="4" s="1"/>
  <c r="F59" i="4"/>
  <c r="G52" i="4" l="1"/>
  <c r="G44" i="4"/>
  <c r="G41" i="4"/>
  <c r="G38" i="4"/>
  <c r="G37" i="4"/>
  <c r="G36" i="4"/>
  <c r="G35" i="4"/>
  <c r="G34" i="4"/>
  <c r="G32" i="4"/>
  <c r="G29" i="4"/>
  <c r="G24" i="4"/>
  <c r="G23" i="4"/>
  <c r="G20" i="4"/>
  <c r="G15" i="4"/>
  <c r="G12" i="4"/>
  <c r="G10" i="4"/>
  <c r="I8" i="40" l="1"/>
  <c r="I11" i="40" s="1"/>
  <c r="J27" i="40" l="1"/>
  <c r="J25" i="40"/>
  <c r="J23" i="40"/>
  <c r="J17" i="40"/>
  <c r="J21" i="40"/>
  <c r="J15" i="40"/>
  <c r="J13" i="40"/>
  <c r="J19" i="40"/>
  <c r="O61" i="41" l="1"/>
  <c r="S61" i="41" s="1"/>
  <c r="O81" i="41"/>
  <c r="S81" i="41" s="1"/>
  <c r="O102" i="41"/>
  <c r="S102" i="41" s="1"/>
  <c r="O108" i="41"/>
  <c r="S108" i="41" s="1"/>
  <c r="O87" i="41"/>
  <c r="S87" i="41" s="1"/>
  <c r="O67" i="41"/>
  <c r="S67" i="41" s="1"/>
  <c r="O84" i="41"/>
  <c r="S84" i="41" s="1"/>
  <c r="O105" i="41"/>
  <c r="S105" i="41" s="1"/>
  <c r="O64" i="41"/>
  <c r="S64" i="41" s="1"/>
  <c r="O82" i="41"/>
  <c r="S82" i="41" s="1"/>
  <c r="O103" i="41"/>
  <c r="S103" i="41" s="1"/>
  <c r="O62" i="41"/>
  <c r="S62" i="41" s="1"/>
  <c r="O106" i="41"/>
  <c r="S106" i="41" s="1"/>
  <c r="O65" i="41"/>
  <c r="S65" i="41" s="1"/>
  <c r="O85" i="41"/>
  <c r="S85" i="41" s="1"/>
  <c r="O83" i="41"/>
  <c r="S83" i="41" s="1"/>
  <c r="O104" i="41"/>
  <c r="S104" i="41" s="1"/>
  <c r="O63" i="41"/>
  <c r="S63" i="41" s="1"/>
  <c r="O66" i="41"/>
  <c r="S66" i="41" s="1"/>
  <c r="O86" i="41"/>
  <c r="S86" i="41" s="1"/>
  <c r="O107" i="41"/>
  <c r="S107" i="41" s="1"/>
  <c r="O109" i="41"/>
  <c r="S109" i="41" s="1"/>
  <c r="O88" i="41"/>
  <c r="S88" i="41" s="1"/>
  <c r="C52" i="4"/>
  <c r="C51" i="4"/>
  <c r="C50" i="4"/>
  <c r="C47" i="4"/>
  <c r="C46" i="4"/>
  <c r="C45" i="4"/>
  <c r="C44" i="4"/>
  <c r="C41" i="4"/>
  <c r="C40" i="4"/>
  <c r="C39" i="4"/>
  <c r="C38" i="4"/>
  <c r="C37" i="4"/>
  <c r="C36" i="4"/>
  <c r="C35" i="4"/>
  <c r="C34" i="4"/>
  <c r="C33" i="4"/>
  <c r="C32" i="4"/>
  <c r="C29" i="4"/>
  <c r="C28" i="4"/>
  <c r="C27" i="4"/>
  <c r="C26" i="4"/>
  <c r="C25" i="4"/>
  <c r="C24" i="4"/>
  <c r="C23" i="4"/>
  <c r="C20" i="4"/>
  <c r="C19" i="4"/>
  <c r="C18" i="4"/>
  <c r="C15" i="4"/>
  <c r="C12" i="4"/>
  <c r="C11" i="4"/>
  <c r="C10" i="4"/>
  <c r="B51" i="4"/>
  <c r="B52" i="4"/>
  <c r="B50" i="4"/>
  <c r="B45" i="4"/>
  <c r="B46" i="4"/>
  <c r="B47" i="4"/>
  <c r="B44" i="4"/>
  <c r="B33" i="4"/>
  <c r="B34" i="4"/>
  <c r="B35" i="4"/>
  <c r="B36" i="4"/>
  <c r="B37" i="4"/>
  <c r="B38" i="4"/>
  <c r="B39" i="4"/>
  <c r="B40" i="4"/>
  <c r="B41" i="4"/>
  <c r="B32" i="4"/>
  <c r="B24" i="4"/>
  <c r="B25" i="4"/>
  <c r="B26" i="4"/>
  <c r="B27" i="4"/>
  <c r="B28" i="4"/>
  <c r="B29" i="4"/>
  <c r="B23" i="4"/>
  <c r="B19" i="4"/>
  <c r="B20" i="4"/>
  <c r="B18" i="4"/>
  <c r="B15" i="4"/>
  <c r="B11" i="4"/>
  <c r="B12" i="4"/>
  <c r="S110" i="41" l="1"/>
  <c r="S112" i="41" s="1"/>
  <c r="S89" i="41"/>
  <c r="S91" i="41" s="1"/>
  <c r="S68" i="41"/>
  <c r="S70" i="41" s="1"/>
  <c r="A1" i="4"/>
  <c r="D2" i="4"/>
  <c r="J2" i="4"/>
  <c r="J3" i="4"/>
  <c r="A8" i="4"/>
  <c r="B8" i="4"/>
  <c r="C8" i="4"/>
  <c r="D8" i="4"/>
  <c r="A9" i="4"/>
  <c r="D9" i="4"/>
  <c r="A10" i="4"/>
  <c r="B10" i="4"/>
  <c r="D10" i="4"/>
  <c r="E10" i="4"/>
  <c r="F10" i="4"/>
  <c r="A11" i="4"/>
  <c r="D11" i="4"/>
  <c r="E11" i="4"/>
  <c r="F11" i="4"/>
  <c r="A12" i="4"/>
  <c r="D12" i="4"/>
  <c r="E12" i="4"/>
  <c r="F12" i="4"/>
  <c r="A14" i="4"/>
  <c r="D14" i="4"/>
  <c r="A15" i="4"/>
  <c r="D15" i="4"/>
  <c r="E15" i="4"/>
  <c r="F15" i="4"/>
  <c r="A17" i="4"/>
  <c r="D17" i="4"/>
  <c r="A18" i="4"/>
  <c r="D18" i="4"/>
  <c r="E18" i="4"/>
  <c r="D19" i="4"/>
  <c r="E19" i="4"/>
  <c r="D20" i="4"/>
  <c r="E20" i="4"/>
  <c r="A22" i="4"/>
  <c r="D22" i="4"/>
  <c r="A23" i="4"/>
  <c r="D23" i="4"/>
  <c r="E23" i="4"/>
  <c r="A24" i="4"/>
  <c r="D24" i="4"/>
  <c r="E24" i="4"/>
  <c r="A25" i="4"/>
  <c r="D25" i="4"/>
  <c r="E25" i="4"/>
  <c r="A26" i="4"/>
  <c r="D26" i="4"/>
  <c r="E26" i="4"/>
  <c r="A27" i="4"/>
  <c r="D27" i="4"/>
  <c r="E27" i="4"/>
  <c r="A28" i="4"/>
  <c r="D28" i="4"/>
  <c r="E28" i="4"/>
  <c r="A29" i="4"/>
  <c r="D29" i="4"/>
  <c r="E29" i="4"/>
  <c r="A31" i="4"/>
  <c r="D31" i="4"/>
  <c r="A32" i="4"/>
  <c r="D32" i="4"/>
  <c r="E32" i="4"/>
  <c r="D33" i="4"/>
  <c r="E33" i="4"/>
  <c r="D34" i="4"/>
  <c r="E34" i="4"/>
  <c r="D35" i="4"/>
  <c r="E35" i="4"/>
  <c r="D36" i="4"/>
  <c r="E36" i="4"/>
  <c r="D37" i="4"/>
  <c r="E37" i="4"/>
  <c r="D38" i="4"/>
  <c r="E38" i="4"/>
  <c r="D39" i="4"/>
  <c r="E39" i="4"/>
  <c r="D40" i="4"/>
  <c r="E40" i="4"/>
  <c r="D41" i="4"/>
  <c r="E41" i="4"/>
  <c r="A43" i="4"/>
  <c r="D43" i="4"/>
  <c r="A44" i="4"/>
  <c r="D44" i="4"/>
  <c r="E44" i="4"/>
  <c r="A45" i="4"/>
  <c r="D45" i="4"/>
  <c r="E45" i="4"/>
  <c r="A46" i="4"/>
  <c r="D46" i="4"/>
  <c r="E46" i="4"/>
  <c r="A47" i="4"/>
  <c r="D47" i="4"/>
  <c r="F47" i="4"/>
  <c r="A49" i="4"/>
  <c r="D49" i="4"/>
  <c r="A50" i="4"/>
  <c r="D50" i="4"/>
  <c r="E50" i="4"/>
  <c r="A51" i="4"/>
  <c r="D51" i="4"/>
  <c r="E51" i="4"/>
  <c r="F51" i="4"/>
  <c r="A52" i="4"/>
  <c r="D52" i="4"/>
  <c r="E52" i="4"/>
  <c r="A54" i="4"/>
  <c r="D54" i="4"/>
  <c r="C30" i="5" s="1"/>
  <c r="S71" i="41" l="1"/>
  <c r="S72" i="41" s="1"/>
  <c r="G18" i="4"/>
  <c r="S92" i="41"/>
  <c r="S93" i="41" s="1"/>
  <c r="S113" i="41"/>
  <c r="S114" i="41" s="1"/>
  <c r="G19" i="4"/>
  <c r="H9" i="39"/>
  <c r="C10" i="3"/>
  <c r="C17" i="3" s="1"/>
  <c r="C23" i="3" s="1"/>
  <c r="C29" i="3" s="1"/>
  <c r="C36" i="3" s="1"/>
  <c r="C42" i="3" s="1"/>
  <c r="B32" i="3"/>
  <c r="A32" i="3"/>
  <c r="B26" i="3"/>
  <c r="A26" i="3"/>
  <c r="B20" i="3"/>
  <c r="A20" i="3"/>
  <c r="B45" i="3"/>
  <c r="A35" i="3"/>
  <c r="B7" i="3"/>
  <c r="B13" i="3" s="1"/>
  <c r="A7" i="3"/>
  <c r="A13" i="3" s="1"/>
  <c r="F46" i="4"/>
  <c r="F52" i="4"/>
  <c r="A2" i="22"/>
  <c r="A2" i="33" s="1"/>
  <c r="G24" i="2"/>
  <c r="F25" i="4" s="1"/>
  <c r="R33" i="31"/>
  <c r="R30" i="31"/>
  <c r="R27" i="31"/>
  <c r="R24" i="31"/>
  <c r="R21" i="31"/>
  <c r="R18" i="31"/>
  <c r="R15" i="31"/>
  <c r="R12" i="31"/>
  <c r="A3" i="22"/>
  <c r="A3" i="33" s="1"/>
  <c r="B4" i="2"/>
  <c r="A1" i="3" s="1"/>
  <c r="B3" i="2"/>
  <c r="D3" i="2"/>
  <c r="D4" i="2"/>
  <c r="B1" i="3" s="1"/>
  <c r="A5" i="33"/>
  <c r="E11" i="33"/>
  <c r="E17" i="33"/>
  <c r="E26" i="33" s="1"/>
  <c r="D7" i="4" s="1"/>
  <c r="H33" i="4" s="1"/>
  <c r="E20" i="33"/>
  <c r="A5" i="22"/>
  <c r="E11" i="22"/>
  <c r="E17" i="22"/>
  <c r="E26" i="22" s="1"/>
  <c r="D6" i="4" s="1"/>
  <c r="H69" i="4" s="1"/>
  <c r="I69" i="4" s="1"/>
  <c r="E20" i="22"/>
  <c r="B9" i="5"/>
  <c r="A7" i="31" s="1"/>
  <c r="C9" i="5"/>
  <c r="B7" i="31" s="1"/>
  <c r="B12" i="5"/>
  <c r="A10" i="31" s="1"/>
  <c r="C12" i="5"/>
  <c r="B10" i="31" s="1"/>
  <c r="B15" i="5"/>
  <c r="A13" i="31" s="1"/>
  <c r="C15" i="5"/>
  <c r="B13" i="31" s="1"/>
  <c r="A3" i="3"/>
  <c r="B18" i="5"/>
  <c r="A16" i="31" s="1"/>
  <c r="B3" i="3"/>
  <c r="C18" i="5"/>
  <c r="B16" i="31" s="1"/>
  <c r="A16" i="3"/>
  <c r="B21" i="5"/>
  <c r="A19" i="31" s="1"/>
  <c r="B16" i="3"/>
  <c r="C21" i="5"/>
  <c r="B19" i="31" s="1"/>
  <c r="B24" i="5"/>
  <c r="A22" i="31" s="1"/>
  <c r="C24" i="5"/>
  <c r="B22" i="31" s="1"/>
  <c r="B27" i="5"/>
  <c r="A25" i="31" s="1"/>
  <c r="C28" i="5"/>
  <c r="B25" i="31" s="1"/>
  <c r="B30" i="5"/>
  <c r="A28" i="31" s="1"/>
  <c r="B35" i="3"/>
  <c r="B28" i="31"/>
  <c r="A31" i="31"/>
  <c r="B31" i="31"/>
  <c r="R9" i="31"/>
  <c r="H67" i="4" l="1"/>
  <c r="I67" i="4" s="1"/>
  <c r="H66" i="4"/>
  <c r="I66" i="4" s="1"/>
  <c r="H63" i="4"/>
  <c r="I63" i="4" s="1"/>
  <c r="H64" i="4"/>
  <c r="I64" i="4" s="1"/>
  <c r="H65" i="4"/>
  <c r="I65" i="4" s="1"/>
  <c r="H68" i="4"/>
  <c r="I68" i="4" s="1"/>
  <c r="H23" i="4"/>
  <c r="H24" i="4"/>
  <c r="H59" i="4"/>
  <c r="I59" i="4" s="1"/>
  <c r="H10" i="4"/>
  <c r="I10" i="4" s="1"/>
  <c r="H55" i="4"/>
  <c r="I55" i="4" s="1"/>
  <c r="H57" i="4"/>
  <c r="H19" i="4"/>
  <c r="H52" i="4"/>
  <c r="I52" i="4" s="1"/>
  <c r="H36" i="4"/>
  <c r="H26" i="4"/>
  <c r="H44" i="4"/>
  <c r="H41" i="4"/>
  <c r="H25" i="4"/>
  <c r="I25" i="4" s="1"/>
  <c r="H27" i="4"/>
  <c r="H29" i="4"/>
  <c r="H45" i="4"/>
  <c r="H47" i="4"/>
  <c r="I47" i="4" s="1"/>
  <c r="H18" i="4"/>
  <c r="H34" i="4"/>
  <c r="H40" i="4"/>
  <c r="H20" i="4"/>
  <c r="H28" i="4"/>
  <c r="H46" i="4"/>
  <c r="I46" i="4" s="1"/>
  <c r="H32" i="4"/>
  <c r="H35" i="4"/>
  <c r="H12" i="4"/>
  <c r="I12" i="4" s="1"/>
  <c r="H38" i="4"/>
  <c r="H39" i="4"/>
  <c r="H50" i="4"/>
  <c r="H51" i="4"/>
  <c r="I51" i="4" s="1"/>
  <c r="H11" i="4"/>
  <c r="I11" i="4" s="1"/>
  <c r="H15" i="4"/>
  <c r="I15" i="4" s="1"/>
  <c r="J15" i="4" s="1"/>
  <c r="H37" i="4"/>
  <c r="H58" i="4"/>
  <c r="H60" i="4"/>
  <c r="I60" i="4" s="1"/>
  <c r="H56" i="4"/>
  <c r="I56" i="4" s="1"/>
  <c r="G25" i="2"/>
  <c r="F26" i="4" s="1"/>
  <c r="D7" i="3"/>
  <c r="D13" i="3" s="1"/>
  <c r="H13" i="3" s="1"/>
  <c r="F45" i="4"/>
  <c r="J12" i="4" l="1"/>
  <c r="D9" i="5" s="1"/>
  <c r="J69" i="4"/>
  <c r="D33" i="5" s="1"/>
  <c r="E31" i="31" s="1"/>
  <c r="D12" i="5"/>
  <c r="E10" i="31" s="1"/>
  <c r="I10" i="31" s="1"/>
  <c r="G23" i="2"/>
  <c r="F24" i="4" s="1"/>
  <c r="I24" i="4" s="1"/>
  <c r="I26" i="4"/>
  <c r="I45" i="4"/>
  <c r="I6" i="4"/>
  <c r="G6" i="4"/>
  <c r="G22" i="2"/>
  <c r="F23" i="4" s="1"/>
  <c r="I23" i="4" s="1"/>
  <c r="G33" i="2"/>
  <c r="F34" i="4" s="1"/>
  <c r="I34" i="4" s="1"/>
  <c r="G36" i="2"/>
  <c r="F37" i="4" s="1"/>
  <c r="I37" i="4" s="1"/>
  <c r="G19" i="2"/>
  <c r="F20" i="4" s="1"/>
  <c r="I20" i="4" s="1"/>
  <c r="G31" i="2"/>
  <c r="F32" i="4" s="1"/>
  <c r="I32" i="4" s="1"/>
  <c r="G35" i="2"/>
  <c r="F36" i="4" s="1"/>
  <c r="I36" i="4" s="1"/>
  <c r="F44" i="4"/>
  <c r="I44" i="4" s="1"/>
  <c r="G34" i="2"/>
  <c r="F35" i="4" s="1"/>
  <c r="I35" i="4" s="1"/>
  <c r="J13" i="3"/>
  <c r="J14" i="3" s="1"/>
  <c r="G27" i="2" s="1"/>
  <c r="F28" i="4" s="1"/>
  <c r="I28" i="4" s="1"/>
  <c r="H7" i="3"/>
  <c r="J7" i="3" s="1"/>
  <c r="J8" i="3" s="1"/>
  <c r="G26" i="2" s="1"/>
  <c r="F27" i="4" s="1"/>
  <c r="O31" i="31" l="1"/>
  <c r="L10" i="31"/>
  <c r="F10" i="31"/>
  <c r="O10" i="31"/>
  <c r="G28" i="2"/>
  <c r="F29" i="4" s="1"/>
  <c r="I29" i="4" s="1"/>
  <c r="J47" i="4"/>
  <c r="D24" i="5" s="1"/>
  <c r="E22" i="31" s="1"/>
  <c r="G37" i="2"/>
  <c r="F38" i="4" s="1"/>
  <c r="I38" i="4" s="1"/>
  <c r="G18" i="2"/>
  <c r="F19" i="4" s="1"/>
  <c r="I19" i="4" s="1"/>
  <c r="F33" i="4"/>
  <c r="I33" i="4" s="1"/>
  <c r="G49" i="2"/>
  <c r="F50" i="4" s="1"/>
  <c r="I50" i="4" s="1"/>
  <c r="J52" i="4" s="1"/>
  <c r="D39" i="5"/>
  <c r="G4" i="2" s="1"/>
  <c r="D20" i="3"/>
  <c r="H20" i="3" s="1"/>
  <c r="J20" i="3" s="1"/>
  <c r="G17" i="2"/>
  <c r="F18" i="4" s="1"/>
  <c r="I27" i="4"/>
  <c r="D32" i="3"/>
  <c r="H32" i="3" s="1"/>
  <c r="J32" i="3" s="1"/>
  <c r="J33" i="3" s="1"/>
  <c r="G40" i="2" s="1"/>
  <c r="F41" i="4" s="1"/>
  <c r="I41" i="4" s="1"/>
  <c r="E7" i="31"/>
  <c r="O22" i="31" l="1"/>
  <c r="L22" i="31"/>
  <c r="D27" i="5"/>
  <c r="I18" i="4"/>
  <c r="J20" i="4" s="1"/>
  <c r="R10" i="31"/>
  <c r="S10" i="31" s="1"/>
  <c r="J29" i="4"/>
  <c r="D26" i="3"/>
  <c r="H26" i="3" s="1"/>
  <c r="J26" i="3" s="1"/>
  <c r="L31" i="31"/>
  <c r="I31" i="31"/>
  <c r="E25" i="31"/>
  <c r="D45" i="3"/>
  <c r="H39" i="3"/>
  <c r="J39" i="3" s="1"/>
  <c r="J40" i="3" s="1"/>
  <c r="G58" i="2" s="1"/>
  <c r="I25" i="31" l="1"/>
  <c r="L25" i="31"/>
  <c r="O25" i="31"/>
  <c r="D18" i="5"/>
  <c r="E16" i="31" s="1"/>
  <c r="L16" i="31" s="1"/>
  <c r="H45" i="3"/>
  <c r="J45" i="3" s="1"/>
  <c r="J46" i="3" s="1"/>
  <c r="G59" i="2" s="1"/>
  <c r="F58" i="4" s="1"/>
  <c r="J21" i="3"/>
  <c r="G38" i="2" s="1"/>
  <c r="F39" i="4" s="1"/>
  <c r="J27" i="3"/>
  <c r="G39" i="2" s="1"/>
  <c r="F40" i="4" s="1"/>
  <c r="I40" i="4" s="1"/>
  <c r="R22" i="31"/>
  <c r="S22" i="31" s="1"/>
  <c r="F57" i="4"/>
  <c r="I57" i="4" s="1"/>
  <c r="R31" i="31"/>
  <c r="S31" i="31" s="1"/>
  <c r="L7" i="31"/>
  <c r="F7" i="31"/>
  <c r="O7" i="31"/>
  <c r="I7" i="31"/>
  <c r="D15" i="5"/>
  <c r="E13" i="31" s="1"/>
  <c r="F74" i="4" l="1"/>
  <c r="F16" i="31"/>
  <c r="I16" i="31"/>
  <c r="I39" i="4"/>
  <c r="J41" i="4" s="1"/>
  <c r="G73" i="2"/>
  <c r="I58" i="4"/>
  <c r="J60" i="4" s="1"/>
  <c r="D30" i="5" s="1"/>
  <c r="E28" i="31" s="1"/>
  <c r="R25" i="31"/>
  <c r="S25" i="31" s="1"/>
  <c r="R7" i="31"/>
  <c r="S7" i="31" s="1"/>
  <c r="J70" i="4" l="1"/>
  <c r="L72" i="4" s="1"/>
  <c r="I28" i="31"/>
  <c r="R16" i="31"/>
  <c r="D21" i="5"/>
  <c r="E19" i="31" s="1"/>
  <c r="O19" i="31" s="1"/>
  <c r="F76" i="4"/>
  <c r="L13" i="31"/>
  <c r="F13" i="31"/>
  <c r="I13" i="31"/>
  <c r="I19" i="31" l="1"/>
  <c r="I35" i="31" s="1"/>
  <c r="E34" i="31"/>
  <c r="L15" i="4"/>
  <c r="L19" i="31"/>
  <c r="F19" i="31"/>
  <c r="F35" i="31" s="1"/>
  <c r="D37" i="5"/>
  <c r="O28" i="31"/>
  <c r="O35" i="31" s="1"/>
  <c r="L28" i="31"/>
  <c r="E38" i="31"/>
  <c r="R13" i="31"/>
  <c r="L35" i="31" l="1"/>
  <c r="D41" i="5"/>
  <c r="G37" i="5"/>
  <c r="O34" i="31"/>
  <c r="R19" i="31"/>
  <c r="S19" i="31" s="1"/>
  <c r="D40" i="5"/>
  <c r="J73" i="4"/>
  <c r="I34" i="31"/>
  <c r="R28" i="31"/>
  <c r="D10" i="31"/>
  <c r="D22" i="31"/>
  <c r="D13" i="31"/>
  <c r="D16" i="31"/>
  <c r="D31" i="31"/>
  <c r="D19" i="31"/>
  <c r="D25" i="31"/>
  <c r="D7" i="31"/>
  <c r="D28" i="31"/>
  <c r="L34" i="31"/>
  <c r="S13" i="31"/>
  <c r="F36" i="31"/>
  <c r="I36" i="31" s="1"/>
  <c r="F34" i="31"/>
  <c r="S28" i="31" l="1"/>
  <c r="S34" i="31"/>
  <c r="S36" i="31" s="1"/>
  <c r="D34" i="31"/>
  <c r="R35" i="31"/>
  <c r="R34" i="31"/>
  <c r="L36" i="31"/>
  <c r="O36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</author>
  </authors>
  <commentList>
    <comment ref="AG7" authorId="0" shapeId="0" xr:uid="{392233F9-4A01-4931-8962-9282F3FE9824}">
      <text>
        <r>
          <rPr>
            <b/>
            <sz val="9"/>
            <color indexed="81"/>
            <rFont val="Tahoma"/>
            <family val="2"/>
          </rPr>
          <t>Rafael:</t>
        </r>
        <r>
          <rPr>
            <sz val="9"/>
            <color indexed="81"/>
            <rFont val="Tahoma"/>
            <family val="2"/>
          </rPr>
          <t xml:space="preserve">
Largura da boca (págs. 6.4 a 6.9 do álbum de projetos-tipo) </t>
        </r>
      </text>
    </comment>
    <comment ref="V9" authorId="0" shapeId="0" xr:uid="{F1314CA7-CB32-4A21-A00F-65E6B6A04AFE}">
      <text>
        <r>
          <rPr>
            <b/>
            <sz val="9"/>
            <color indexed="81"/>
            <rFont val="Tahoma"/>
            <family val="2"/>
          </rPr>
          <t>Rafael:</t>
        </r>
        <r>
          <rPr>
            <sz val="9"/>
            <color indexed="81"/>
            <rFont val="Tahoma"/>
            <family val="2"/>
          </rPr>
          <t xml:space="preserve">
2,3m - Prof. Da vala (NBR 12266-92).
2m - Dois lados.</t>
        </r>
      </text>
    </comment>
    <comment ref="AD9" authorId="0" shapeId="0" xr:uid="{44AB6195-DCC6-4F01-83EA-1AC3F5AD059E}">
      <text>
        <r>
          <rPr>
            <b/>
            <sz val="9"/>
            <color indexed="81"/>
            <rFont val="Tahoma"/>
            <family val="2"/>
          </rPr>
          <t>Rafael:
Obtido da p. 6.4 do álbum de projetos-tipo</t>
        </r>
      </text>
    </comment>
    <comment ref="AE9" authorId="0" shapeId="0" xr:uid="{7ED5C484-1FE8-44C4-A048-BB4ABF948A90}">
      <text>
        <r>
          <rPr>
            <b/>
            <sz val="9"/>
            <color indexed="81"/>
            <rFont val="Tahoma"/>
            <family val="2"/>
          </rPr>
          <t>Rafael:
Obtido da p. 6.4 do álbum de projetos-tipo</t>
        </r>
      </text>
    </comment>
  </commentList>
</comments>
</file>

<file path=xl/sharedStrings.xml><?xml version="1.0" encoding="utf-8"?>
<sst xmlns="http://schemas.openxmlformats.org/spreadsheetml/2006/main" count="1877" uniqueCount="682">
  <si>
    <t>DISCRIMINAÇÃO</t>
  </si>
  <si>
    <t>UNIDADE</t>
  </si>
  <si>
    <t>QUANTIDADE</t>
  </si>
  <si>
    <t>TERRAPLENAGEM</t>
  </si>
  <si>
    <t>m³</t>
  </si>
  <si>
    <t>PAVIMENTAÇÃO</t>
  </si>
  <si>
    <t>m²</t>
  </si>
  <si>
    <t>DRENAGEM</t>
  </si>
  <si>
    <t>m</t>
  </si>
  <si>
    <t>unid</t>
  </si>
  <si>
    <t>OBRAS COMPLEMENTARES</t>
  </si>
  <si>
    <t>x</t>
  </si>
  <si>
    <t>UNID.</t>
  </si>
  <si>
    <t>QUANT.</t>
  </si>
  <si>
    <t>P. UNIT.</t>
  </si>
  <si>
    <t>SUBTOTAL</t>
  </si>
  <si>
    <t>TOTAL</t>
  </si>
  <si>
    <t>CÓDIGO</t>
  </si>
  <si>
    <t>SERVIÇO</t>
  </si>
  <si>
    <t>MATERIAL</t>
  </si>
  <si>
    <t>UNID</t>
  </si>
  <si>
    <t>F.UTILIZAÇÃO</t>
  </si>
  <si>
    <t>PESO(T) A TRANSPORTAR</t>
  </si>
  <si>
    <t>DMT(KM)</t>
  </si>
  <si>
    <t>MOMENTO DE TRANSPORTE(t.km)</t>
  </si>
  <si>
    <t>FATOR</t>
  </si>
  <si>
    <t>Solo</t>
  </si>
  <si>
    <t>t/m³</t>
  </si>
  <si>
    <t>II</t>
  </si>
  <si>
    <t>III</t>
  </si>
  <si>
    <t>IV</t>
  </si>
  <si>
    <t>SERVIÇOS PRELIMINARES</t>
  </si>
  <si>
    <t>V</t>
  </si>
  <si>
    <t xml:space="preserve">ANEXO </t>
  </si>
  <si>
    <t>VALOR (R$)</t>
  </si>
  <si>
    <t>VI</t>
  </si>
  <si>
    <t>TOTAL  GERAL</t>
  </si>
  <si>
    <t>ITEM</t>
  </si>
  <si>
    <t>2.0</t>
  </si>
  <si>
    <t>3.0</t>
  </si>
  <si>
    <t>3.2</t>
  </si>
  <si>
    <t>OBRA</t>
  </si>
  <si>
    <t>PAVIMENTAÇÃO DE VIAS URBANAS</t>
  </si>
  <si>
    <t>4.0</t>
  </si>
  <si>
    <t>4.1</t>
  </si>
  <si>
    <t>5.0</t>
  </si>
  <si>
    <t>ÁREA (m²)</t>
  </si>
  <si>
    <t>3.1</t>
  </si>
  <si>
    <t>5.1</t>
  </si>
  <si>
    <t>2.1</t>
  </si>
  <si>
    <t>1.0</t>
  </si>
  <si>
    <t>1.1</t>
  </si>
  <si>
    <t>1.2</t>
  </si>
  <si>
    <t>5.2</t>
  </si>
  <si>
    <t>Aluguel container/sanit c/2 vasos/1 lavat/1 mic/4 chuv larg2,20m compr=6,20m alt=2,50m chapa aco c/nerv trapez forro c/isolam termo/acustico chassis reforc piso compens naval inclinst eletr/hidr excl transp/carga/descarga</t>
  </si>
  <si>
    <t>mês</t>
  </si>
  <si>
    <t>3.3</t>
  </si>
  <si>
    <t>3.4</t>
  </si>
  <si>
    <t>txkm</t>
  </si>
  <si>
    <t>massa</t>
  </si>
  <si>
    <t>TERRAPLENAGEM E PAVIMENTAÇÃO</t>
  </si>
  <si>
    <t>LOGRADOURO</t>
  </si>
  <si>
    <t>ESTACAS</t>
  </si>
  <si>
    <t>EXTENSÃO (m)</t>
  </si>
  <si>
    <t>LARGURA TOTAL  (m)</t>
  </si>
  <si>
    <t>SUBLEITO (m²)</t>
  </si>
  <si>
    <t>MEIO-FIO C/ SARJETA  (m)</t>
  </si>
  <si>
    <t>INICIAL</t>
  </si>
  <si>
    <t>FINAL</t>
  </si>
  <si>
    <t>FOLGA</t>
  </si>
  <si>
    <t xml:space="preserve">LARGURA DA PISTA </t>
  </si>
  <si>
    <t xml:space="preserve">LE </t>
  </si>
  <si>
    <t>LD</t>
  </si>
  <si>
    <t>+</t>
  </si>
  <si>
    <t>TOTAL/M² (R$)</t>
  </si>
  <si>
    <t xml:space="preserve"> RESUMO  DOS  PREÇOS</t>
  </si>
  <si>
    <t>DATA BASE:</t>
  </si>
  <si>
    <t>LIMPEZA CAMADA VEGETAL (m²)</t>
  </si>
  <si>
    <t>Despesas Financeiras</t>
  </si>
  <si>
    <t>Riscos</t>
  </si>
  <si>
    <t>CPRB</t>
  </si>
  <si>
    <t>PERCENTUAL</t>
  </si>
  <si>
    <t>BDI</t>
  </si>
  <si>
    <t>CUSTO OBRA</t>
  </si>
  <si>
    <t>Outras Fontes</t>
  </si>
  <si>
    <t>VALOR DA OBRA</t>
  </si>
  <si>
    <t>( % )</t>
  </si>
  <si>
    <t>R$</t>
  </si>
  <si>
    <t>ADMINISTRAÇÃO DA OBRA</t>
  </si>
  <si>
    <t>Administração Central</t>
  </si>
  <si>
    <t>1.3</t>
  </si>
  <si>
    <t>LUCRO</t>
  </si>
  <si>
    <t>Lucro Operacional</t>
  </si>
  <si>
    <t>TRIBUTOS</t>
  </si>
  <si>
    <t>Não incidem IRPJ e CSLL na composição de Tributos.</t>
  </si>
  <si>
    <t xml:space="preserve">TAXA DE BDI A SER APLICADA 
SOBRE O CUSTO DIRETO </t>
  </si>
  <si>
    <t xml:space="preserve">De acordo com o ACÓRDÃO Nº 2622/2013 – TCU – Plenário </t>
  </si>
  <si>
    <t>PREFEITURA MUNICIPAL DE VÁRZEA GRANDE</t>
  </si>
  <si>
    <t xml:space="preserve">B.D.I. </t>
  </si>
  <si>
    <t>Limpeza mecanizada de área com remoção de camada vegetal, utilizando motoniveladora</t>
  </si>
  <si>
    <t>Regularização e compactação de subleito até 20 cm de espessura</t>
  </si>
  <si>
    <t>Execução e compactação de base com solo estabilizado granulometricamente - exclusive escavação, carga e transporte e solo. af_09/2017</t>
  </si>
  <si>
    <t>Execução de imprimação com asfalto diluído CM-30. af_09/2017</t>
  </si>
  <si>
    <t>6.0</t>
  </si>
  <si>
    <t>SINALIZAÇÃO HORIZONTAL/VERTICAL</t>
  </si>
  <si>
    <t>6.1</t>
  </si>
  <si>
    <t>Sinalizacao horizontal com tinta retrorrefletiva a base de resina acrilica  c/ micro esfera de vidro</t>
  </si>
  <si>
    <t>6.2</t>
  </si>
  <si>
    <t>6.3</t>
  </si>
  <si>
    <t>SENTIDO</t>
  </si>
  <si>
    <t>COMPRIMENTO</t>
  </si>
  <si>
    <t>Área</t>
  </si>
  <si>
    <t>TIPO DE PINTURA</t>
  </si>
  <si>
    <t>(m)</t>
  </si>
  <si>
    <t>(m²)</t>
  </si>
  <si>
    <t>2X4</t>
  </si>
  <si>
    <t>Contínua</t>
  </si>
  <si>
    <t>TOTAL DE PINTURA DE FAIXAS</t>
  </si>
  <si>
    <t>LOCAL - Dist.</t>
  </si>
  <si>
    <t>OBSERVAÇÕES</t>
  </si>
  <si>
    <t>do bordo (Metros)</t>
  </si>
  <si>
    <t>TIPO</t>
  </si>
  <si>
    <t>DIMENSÕES</t>
  </si>
  <si>
    <t>ÁREAS(m²)</t>
  </si>
  <si>
    <t>Regulamentação</t>
  </si>
  <si>
    <t>VII</t>
  </si>
  <si>
    <t>Prazo ( dias consecutivos )</t>
  </si>
  <si>
    <t>Ítem</t>
  </si>
  <si>
    <t>Etapas de Serviço</t>
  </si>
  <si>
    <t>%</t>
  </si>
  <si>
    <t>Valor (R$)</t>
  </si>
  <si>
    <t>TOTAL ( % e R$ )</t>
  </si>
  <si>
    <t>DESEMBOLSO</t>
  </si>
  <si>
    <t xml:space="preserve"> SIMPLES</t>
  </si>
  <si>
    <t>ACUMULADO</t>
  </si>
  <si>
    <t>1.4</t>
  </si>
  <si>
    <t>Seguro e Garantia</t>
  </si>
  <si>
    <t>PIS</t>
  </si>
  <si>
    <t>COFINS</t>
  </si>
  <si>
    <t>ISSqn</t>
  </si>
  <si>
    <t>Formula para o calculo do BDI:</t>
  </si>
  <si>
    <t>Indicativa</t>
  </si>
  <si>
    <t>I-01</t>
  </si>
  <si>
    <t>ENSAIOS TECNOLÓGICOS DE SOLO E ASFALTO</t>
  </si>
  <si>
    <t>Ensaio de regularição de sub-leito</t>
  </si>
  <si>
    <t>Ensaio de base estabilizada granulometricamente</t>
  </si>
  <si>
    <t>un</t>
  </si>
  <si>
    <t>Placa de obra em chapa de aço galvanizado</t>
  </si>
  <si>
    <t>7.0</t>
  </si>
  <si>
    <t>7.1</t>
  </si>
  <si>
    <t>8.0</t>
  </si>
  <si>
    <t>8.1</t>
  </si>
  <si>
    <t>8.2</t>
  </si>
  <si>
    <t>Ensaio de resistência a compressão simples do concreto - meio-fio, sarjetas e calçadas 
(considerado 1,0 amostra a cada 200 m)</t>
  </si>
  <si>
    <t>ADMINISTRAÇÃO LOCAL</t>
  </si>
  <si>
    <t>Execução de depósito em canteiro de obra</t>
  </si>
  <si>
    <t>Indenização de jazida não condiz com o preço praticado na região (Preço praticado na jazida)</t>
  </si>
  <si>
    <t>5.4</t>
  </si>
  <si>
    <t>5.5</t>
  </si>
  <si>
    <t>5.6</t>
  </si>
  <si>
    <t>5.7</t>
  </si>
  <si>
    <t>5.8</t>
  </si>
  <si>
    <t>5.9</t>
  </si>
  <si>
    <t>5.10</t>
  </si>
  <si>
    <t>Pintura de ligação com emulsão RR-2C</t>
  </si>
  <si>
    <t>Confecção de placa em aço nº 16 galvanizado, com película retrorrefletiva tipo I + III</t>
  </si>
  <si>
    <t>Pintura de setas e zebrados - tinta base acrílica - espessura de 0,6 mm</t>
  </si>
  <si>
    <t>8.4</t>
  </si>
  <si>
    <t>BANCO</t>
  </si>
  <si>
    <t>SINAPI</t>
  </si>
  <si>
    <t>COTAÇÃO</t>
  </si>
  <si>
    <t>m³xkm</t>
  </si>
  <si>
    <t>MOMENTO DE TRANSPORTE(m³.km)</t>
  </si>
  <si>
    <t>B.D.I. DIFERENCIADO</t>
  </si>
  <si>
    <t>7.2</t>
  </si>
  <si>
    <t>8.3</t>
  </si>
  <si>
    <t>8.5</t>
  </si>
  <si>
    <t>Placa esmaltada para identificação NR de Rua, dimensões 45X25cm</t>
  </si>
  <si>
    <t>Espalhamento de material em bota fora, com utilizacao de trator de esteiras de 165 HP</t>
  </si>
  <si>
    <t>MEMÓRIA DE CÁLCULO DE VOLUMES DA DRENAGEM</t>
  </si>
  <si>
    <t>COMP. DO LANCE</t>
  </si>
  <si>
    <t>DIAMETRO (m)</t>
  </si>
  <si>
    <t xml:space="preserve">LARGURA </t>
  </si>
  <si>
    <t>CORTE</t>
  </si>
  <si>
    <t xml:space="preserve">CORTE </t>
  </si>
  <si>
    <t>ALTURA MEDIA</t>
  </si>
  <si>
    <t>VOLUME</t>
  </si>
  <si>
    <t>MONTANTE</t>
  </si>
  <si>
    <t>DOS CORTES</t>
  </si>
  <si>
    <t>TUBULAÇÃO</t>
  </si>
  <si>
    <t>ESCAVAÇÃO</t>
  </si>
  <si>
    <t>ÁREA</t>
  </si>
  <si>
    <t>REGULARIZAÇÃO DE FUNDO DE VALA</t>
  </si>
  <si>
    <t>solo</t>
  </si>
  <si>
    <t>REATERRO E COMPACTAÇÃO DE VALAS  TOTAL</t>
  </si>
  <si>
    <t>Fornecimento e implantação de suporte metálico galvanizado para placa de regulamentação - R1 - lado de 0,248 m</t>
  </si>
  <si>
    <t>6.4</t>
  </si>
  <si>
    <t>Tipo de transporte 95878 Transporte local em rodov. pavim. (const.)</t>
  </si>
  <si>
    <t>Tipo  de transporte 93595  -  Transporte  local em rodovia  não  pavimentada (const)</t>
  </si>
  <si>
    <t>m³/m³</t>
  </si>
  <si>
    <t>Tipo  de transporte 93589  -  Transporte  local em rodovia  não  pavimentada (const)</t>
  </si>
  <si>
    <t>Tipo de transporte  95875 Transporte local em rodov. pavim. (const.)</t>
  </si>
  <si>
    <t>Transporte com caminhão basculante de 10 m3, em via urbana pavimentada, dmt até 30 km (unidade: tonxkm). af_12/2016</t>
  </si>
  <si>
    <t>Tipo  de transporte 95303  -  Transporte  comercial c/basculante de massa asfáltica</t>
  </si>
  <si>
    <t>Transporte com caminhão basculante de 10 m3, em via urbana em revestimento primário (unidade: tonxkm). af_04/2016</t>
  </si>
  <si>
    <t>PREFEITURA MUNICIPAL DE VÁZEA GRANDE</t>
  </si>
  <si>
    <t>P. UNIT. C/BDI</t>
  </si>
  <si>
    <t>LOGRADOUROS</t>
  </si>
  <si>
    <t>4.4</t>
  </si>
  <si>
    <t>Escavacao mecanica de material 1a. categoria, proveniente de corte de subleito (c/trator esteiras 160hp)</t>
  </si>
  <si>
    <t>4.6</t>
  </si>
  <si>
    <t>4.7</t>
  </si>
  <si>
    <t>Transporte com caminhão basculante de 10 m3, em via urbana em revestimento primário (unidade: txkm). af_04/2016</t>
  </si>
  <si>
    <t>Transporte com caminhão basculante de 10 m3, em via urbana pavimentada, dmt até 30 km (unidade: txkm). af_12/2016</t>
  </si>
  <si>
    <t>Espalhamento de material em bota fora, com utilização de trator de esteiras de 165 hp</t>
  </si>
  <si>
    <t>-</t>
  </si>
  <si>
    <t>LASTRO DE BRITA</t>
  </si>
  <si>
    <t>4.3</t>
  </si>
  <si>
    <t>Compactação de aterros a 100% do Proctor intermediário</t>
  </si>
  <si>
    <t>SINAL DE PLACA</t>
  </si>
  <si>
    <t>R-01</t>
  </si>
  <si>
    <t>45X25 CM</t>
  </si>
  <si>
    <t>4.2</t>
  </si>
  <si>
    <t>4.5</t>
  </si>
  <si>
    <t>NÃO DESONERADO</t>
  </si>
  <si>
    <t>Transporte com caminhão basculante 10 m3 de massa asfáltica para pavimentação urbana</t>
  </si>
  <si>
    <t>BDI - BENEFICIOS E DESPESAS INDIRETAS - NÃO DESONERADO</t>
  </si>
  <si>
    <t>I</t>
  </si>
  <si>
    <t>Carga e descarga de material betuminoso a quente com caminhão basculante 6m3, descarga em vibro-acabadora</t>
  </si>
  <si>
    <t>5.11</t>
  </si>
  <si>
    <t>TOTAL/KM (R$)</t>
  </si>
  <si>
    <t>Composição SINAPI - 73847/001</t>
  </si>
  <si>
    <t>Código</t>
  </si>
  <si>
    <t xml:space="preserve"> 73847/001 </t>
  </si>
  <si>
    <t>Descrição</t>
  </si>
  <si>
    <t>ALUGUEL CONTAINER/ESCRIT INCL INST ELET LARG=2,20 COMP=6,20M          ALT=2,50M CHAPA ACO C/NERV TRAPEZ FORRO C/ISOL TERMO/ACUSTICO         CHASSIS REFORC PISO COMPENS NAVAL EXC TRANSP/CARGA/DESCARGA</t>
  </si>
  <si>
    <t>Data</t>
  </si>
  <si>
    <t>Estado</t>
  </si>
  <si>
    <t>Mato Grosso</t>
  </si>
  <si>
    <t>Tipo</t>
  </si>
  <si>
    <t>CANT - CANTEIRO DE OBRAS</t>
  </si>
  <si>
    <t>Unidade</t>
  </si>
  <si>
    <t>MES</t>
  </si>
  <si>
    <t>codigo</t>
  </si>
  <si>
    <t>Valor sem Desoneração</t>
  </si>
  <si>
    <t>Coeficiente</t>
  </si>
  <si>
    <t xml:space="preserve"> 00010776 </t>
  </si>
  <si>
    <t>LOCACAO DE CONTAINER 2,30  X  6,00 M, ALT. 2,50 M, PARA ESCRITORIO, SEM DIVISORIAS INTERNAS E SEM SANITARIO</t>
  </si>
  <si>
    <t>Equipamento</t>
  </si>
  <si>
    <t>1,0</t>
  </si>
  <si>
    <t>REFORÇO (m³)</t>
  </si>
  <si>
    <t>ÁREA TOTAL</t>
  </si>
  <si>
    <t>MEDIA DE ESC. (m)</t>
  </si>
  <si>
    <t xml:space="preserve">DE CORTE (m³) </t>
  </si>
  <si>
    <t>RESUMO GERAL</t>
  </si>
  <si>
    <t xml:space="preserve">TOTAL DE BOTA FORA </t>
  </si>
  <si>
    <t>7.3</t>
  </si>
  <si>
    <t>Guia (meio-fio) e sarjeta conjugados de concreto, moldada i n loco em trecho reto com extrusora, guia 13 cm base x 22 cm altura. af_06/2016</t>
  </si>
  <si>
    <t>Guia (meio-fio) e sarjeta conjugados de concreto, moldada i n loco em trecho curvo com extrusora, guia 13 cm base x 22 cm altura. af_06/2016</t>
  </si>
  <si>
    <t>CBUQ                (m³)</t>
  </si>
  <si>
    <t>IMPRIM.                   (m²)</t>
  </si>
  <si>
    <t>SUB-BASE                (m³)</t>
  </si>
  <si>
    <t>CORTE                  (m³)</t>
  </si>
  <si>
    <t>PLANILHA ORÇAMENTÁRIA</t>
  </si>
  <si>
    <t>PINTURA DE LIGAÇÃO (m²)</t>
  </si>
  <si>
    <t>m/unid</t>
  </si>
  <si>
    <t>BASE                (m³)</t>
  </si>
  <si>
    <t>TOTAL GERAL</t>
  </si>
  <si>
    <t>SERVIÇOS</t>
  </si>
  <si>
    <t>SICRO</t>
  </si>
  <si>
    <t>EXTENSÃO (m)  :</t>
  </si>
  <si>
    <t xml:space="preserve">ÁREA (m²)  : </t>
  </si>
  <si>
    <t>DATA BASE   :</t>
  </si>
  <si>
    <t>ÁREA FUNDO DE VALA (m²)</t>
  </si>
  <si>
    <t>Composição</t>
  </si>
  <si>
    <t>Administração Local</t>
  </si>
  <si>
    <t>Comp. 2.1</t>
  </si>
  <si>
    <t>Comp. 3.1</t>
  </si>
  <si>
    <t>Comp. 3.3</t>
  </si>
  <si>
    <t>Comp. 3.4</t>
  </si>
  <si>
    <t>Comp. 4.1</t>
  </si>
  <si>
    <t>Escavação, carga e transporte de material de 1ª categoria - DMT de 400 a 600 m - caminho de serviço em revestimento primário - com escavadeira e caminhão basculante de 14 m³</t>
  </si>
  <si>
    <t>Comp. 4.2</t>
  </si>
  <si>
    <t>Comp. 4.7</t>
  </si>
  <si>
    <t>M980</t>
  </si>
  <si>
    <t>Comp. 5.1</t>
  </si>
  <si>
    <t>Comp. 5.4</t>
  </si>
  <si>
    <t>Comp. 5.5</t>
  </si>
  <si>
    <t>Comp. 5.6</t>
  </si>
  <si>
    <t>Comp. 5.7</t>
  </si>
  <si>
    <t>Construção de pavimento com aplicação de concreto betuminoso usinado a quente (cbuq), camada de rolamento, com espessura de 3,0 cm  exclusive transporte. af_03/2017</t>
  </si>
  <si>
    <t>Comp. 5.11</t>
  </si>
  <si>
    <t>Comp. 6.1</t>
  </si>
  <si>
    <t>Comp. 7.3</t>
  </si>
  <si>
    <t>Comp. 8.11</t>
  </si>
  <si>
    <t>Comp. 8.10</t>
  </si>
  <si>
    <t xml:space="preserve"> 07/2021</t>
  </si>
  <si>
    <t>Comp. 1.1</t>
  </si>
  <si>
    <t>Comp. 1.3</t>
  </si>
  <si>
    <t>ÍNDICE DE REAJUSTAMENTO DE PAVIMENTAÇÃO DA FUNDAÇÃO GETÚLIO VARGAS</t>
  </si>
  <si>
    <t xml:space="preserve">R =   (Ii - Io)/Io </t>
  </si>
  <si>
    <t>Onde:</t>
  </si>
  <si>
    <t>Io = Índice de preço do mês de origem das equações tarifárias</t>
  </si>
  <si>
    <t>Ii = Índice de preço  referente ao mês do orçamento do projeto</t>
  </si>
  <si>
    <t>Índice</t>
  </si>
  <si>
    <t>Índice Atualizado</t>
  </si>
  <si>
    <t>Pavimentação</t>
  </si>
  <si>
    <t>Fator de Correção total</t>
  </si>
  <si>
    <t>Io (Junho/2019)</t>
  </si>
  <si>
    <t>Valor do serviço</t>
  </si>
  <si>
    <t>74022/006 ENSAIO DE GRANULOMETRIA POR PENEIRAMENTO - SOLOS UN CR 121,06</t>
  </si>
  <si>
    <t>74022/008 ENSAIO DE LIMITE DE LIQUIDEZ - SOLOS UN CR 75,67</t>
  </si>
  <si>
    <t>74022/009 ENSAIO DE LIMITE DE PLASTICIDADE - SOLOS UN CR 68,09</t>
  </si>
  <si>
    <t>74022/010 ENSAIO DE COMPACTACAO - AMOSTRAS NAO TRABALHADAS - ENERGIA NORMAL - SOLOS UN CR 143,76</t>
  </si>
  <si>
    <t>74022/015 ENSAIO DE MASSA ESPECIFICA - IN SITU - METODO BALAO DE BORRACHA - SOLOS UN CR 60,52</t>
  </si>
  <si>
    <t>74022/019 ENSAIO DE INDICE DE SUPORTE CALIFORNIA - AMOSTRAS NAO TRABALHADAS - ENERGIA NORMAL - SOLOS UN CR 174,03</t>
  </si>
  <si>
    <t>74022/023 ENSAIO DE TEOR DE UMIDADE - PROCESSO SPEEDY - SOLOS E AGREGADOS MIUDOS UN CR 45,39</t>
  </si>
  <si>
    <t>74022/042 ENSAIO DE EQUIVALENTE EM AREIA - SOLOS UN CR 68,09</t>
  </si>
  <si>
    <t>Carga e descarga mecânica de solo utilizando caminhão basculante 6m³/16t e pa carregadeira sobre pneus * 128 hp * cap. até 2,8m3</t>
  </si>
  <si>
    <t>Comp. 5.8</t>
  </si>
  <si>
    <t>CUSTO UNITÁRIO DE REFERÊNCIA</t>
  </si>
  <si>
    <t>Serviço:</t>
  </si>
  <si>
    <t>Código:</t>
  </si>
  <si>
    <t>COMP. 1.1</t>
  </si>
  <si>
    <t>Prod. Equipe:</t>
  </si>
  <si>
    <t>Unid:</t>
  </si>
  <si>
    <t>M2</t>
  </si>
  <si>
    <t>Códigos</t>
  </si>
  <si>
    <t>Preço Unit. 
(R$)</t>
  </si>
  <si>
    <t>Custo Unit.
(R$)</t>
  </si>
  <si>
    <t>94962</t>
  </si>
  <si>
    <t>CONCRETO MAGRO PARA LASTRO, TRAÇO 1:4,5:4,5 (CIMENTO/</t>
  </si>
  <si>
    <t>M3</t>
  </si>
  <si>
    <t>88262</t>
  </si>
  <si>
    <t>CARPINTEIRO DE FORMAS COM ENCARGOS COMPLEMENTARES</t>
  </si>
  <si>
    <t>H</t>
  </si>
  <si>
    <t>88316</t>
  </si>
  <si>
    <t>SERVENTE COM ENCARGOS COMPLEMENTARES</t>
  </si>
  <si>
    <t>04417</t>
  </si>
  <si>
    <t>SARRAFO DE MADEIRA NAO APARELHADA *2,5 X 7* CM, MACARANDUBA, ANGELIM OU EQUIVALENTE DA REGIAO</t>
  </si>
  <si>
    <t>M</t>
  </si>
  <si>
    <t>04491</t>
  </si>
  <si>
    <t>PONTALETE DE MADEIRA NAO APARELHADA *7,5 X 7,5* CM (3 X 3 ) PINUS, MISTA OU EQUIVALENTE DA REGIAO</t>
  </si>
  <si>
    <t>04813</t>
  </si>
  <si>
    <t>PLACA DE OBRA (PARA CONSTRUCAO CIVIL) EM CHAPA GALVANIZADA *N. 22*, ADESIVADA, DE *2,0 X 1,125* M</t>
  </si>
  <si>
    <t>PREGO DE ACO POLIDO COM CABECA 18 X 30 (2 3/4 X 10)</t>
  </si>
  <si>
    <t>KG</t>
  </si>
  <si>
    <t>CUSTO TOTAL DAS ATIVIDADES =</t>
  </si>
  <si>
    <t>CUSTO UNITÁRIO DIRETO TOTAL =</t>
  </si>
  <si>
    <t>BONIFICAÇÃO E DESPESAS INDIRETAS (</t>
  </si>
  <si>
    <t>% ) =</t>
  </si>
  <si>
    <t>PREÇO UNITÁRIO TOTAL (R$) =</t>
  </si>
  <si>
    <t>UN</t>
  </si>
  <si>
    <t>COMP. 1.3</t>
  </si>
  <si>
    <t>LOCACAO DE CONTAINER 2,30  X 6,00 M, ALT. 2,50 M, PARA ESCRITORIO, SEM DIVISORIAS INTERNAS E SEM SANITARIO</t>
  </si>
  <si>
    <t>COMP. 2.1</t>
  </si>
  <si>
    <t>UND</t>
  </si>
  <si>
    <t>APONTADOR OU APROPRIADOR COM ENCARGOS COMPLEMENTARES</t>
  </si>
  <si>
    <t>ENGENHEIRO CIVIL DE OBRA JUNIOR COM ENCARGOS</t>
  </si>
  <si>
    <t>93572</t>
  </si>
  <si>
    <t>ENCARREGADO GERAL DE OBRAS COM ENCARGOS COMPLEMENTARES</t>
  </si>
  <si>
    <t>TOPOGRAFO COM ENCARGOS COMPLEMENTARES</t>
  </si>
  <si>
    <t>AUXILIAR DE LABORATORISTA DE SOLOS E DE CONCRETO COM</t>
  </si>
  <si>
    <t>101389</t>
  </si>
  <si>
    <t>AUXILIAR DE TOPÓGRAFO COM ENCARGOS COMPLEMENTARES</t>
  </si>
  <si>
    <t>101456</t>
  </si>
  <si>
    <t>TÉCNICO DE LABORATÓRIO E CAMPO DE CONSTRUÇÃO COM ENCARGOS</t>
  </si>
  <si>
    <t>ENSAIOS DE REGULARIZACAO DO SUBLEITO</t>
  </si>
  <si>
    <t>COMP. 3.1</t>
  </si>
  <si>
    <t>74022/006</t>
  </si>
  <si>
    <t>ENSAIO DE GRANULOMETRIA POR PENEIRAMENTO - SOLOS</t>
  </si>
  <si>
    <t>74022/008</t>
  </si>
  <si>
    <t>ENSAIO DE LIMITE DE LIQUIDEZ - SOLOS</t>
  </si>
  <si>
    <t>74022/009</t>
  </si>
  <si>
    <t>ENSAIO DE LIMITE DE PLASTICIDADE - SOLOS</t>
  </si>
  <si>
    <t>74022/010</t>
  </si>
  <si>
    <t>ENSAIO DE COMPACTACAO - AMOSTRAS NAO TRABALHADAS - ENERGIA NORMAL - SOLOS</t>
  </si>
  <si>
    <t>74022/015</t>
  </si>
  <si>
    <t>ENSAIO DE MASSA ESPECIFICA - IN SITU - METODO BALAO DE BORRACHA - SOLOS</t>
  </si>
  <si>
    <t>74022/019</t>
  </si>
  <si>
    <t xml:space="preserve"> ENSAIO DE INDICE DE SUPORTE CALIFORNIA - AMOSTRAS NAO TRABALHADAS - ENERGIA NORMAL - SOLOS</t>
  </si>
  <si>
    <t>74022/023</t>
  </si>
  <si>
    <t>ENSAIO DE TEOR DE UMIDADE - PROCESSO SPEEDY - SOLOS E AGREGADOS MIUDOS</t>
  </si>
  <si>
    <t>ENSAIOS DE SUB-BASE ESTABILIZADA GRANULOMETRICAMENTE</t>
  </si>
  <si>
    <t>COMP. 3.2</t>
  </si>
  <si>
    <t>74022/042</t>
  </si>
  <si>
    <t>ENSAIO DE EQUIVALENTE EM AREIA - SOLOS</t>
  </si>
  <si>
    <t>ENSAIOS DE BASE ESTABILIZADA GRANULOMETRICAMENTE</t>
  </si>
  <si>
    <t>COMP. 3.3</t>
  </si>
  <si>
    <t>ENSAIO DE RESISTENCIA A COMPRESSAO SIMPLES - CONCRETO</t>
  </si>
  <si>
    <t>COMP. 3.4</t>
  </si>
  <si>
    <t>AUXILIAR DE LABORATÓRIO COM ENCARGOS COMPLEMENTARES</t>
  </si>
  <si>
    <t>TÉCNICO DE LABORATÓRIO COM ENCARGOS COMPLEMENTARES</t>
  </si>
  <si>
    <t>LIMPEZA MECANIZADA DE TERRENO COM REMOCAO DE CAMADA VEGETAL, UTILIZANDO MOTONIVELADORA</t>
  </si>
  <si>
    <t>COMP. 4.1</t>
  </si>
  <si>
    <t>5932</t>
  </si>
  <si>
    <t>MOTONIVELADORA POTÊNCIA BÁSICA LÍQUIDA (PRIMEIRA MARCHA) 125</t>
  </si>
  <si>
    <t>CHP</t>
  </si>
  <si>
    <t>ESCAVACAO MECANICA DE MATERIAL 1A. CATEGORIA, PROVENIENTE DE CORTE DE SUBLEITO (C/TRATOR ESTEIRAS 160HP)</t>
  </si>
  <si>
    <t>COMP. 4.2</t>
  </si>
  <si>
    <t>5847</t>
  </si>
  <si>
    <t>TRATOR DE ESTEIRAS, POTÊNCIA 170 HP, PESO OPERACIONAL 19 T,</t>
  </si>
  <si>
    <t>91386</t>
  </si>
  <si>
    <t>CAMINHÃO BASCULANTE 10 M3, TRUCADO CABINE SIMPLES, PESO</t>
  </si>
  <si>
    <t>CHI</t>
  </si>
  <si>
    <t>ESPALHAMENTO DE MATERIAL EM BOTA FORA, COM UTILIZACAO DE TRATOR DE ESTEIRAS DE 165 HP</t>
  </si>
  <si>
    <t>COMP. 4.7</t>
  </si>
  <si>
    <t>REGULARIZACAO E COMPACTACAO DE SUBLEITO ATE 20 CM DE ESPESSURA</t>
  </si>
  <si>
    <t>COMP. 5.1</t>
  </si>
  <si>
    <t>5901</t>
  </si>
  <si>
    <t>CAMINHÃO PIPA 10.000 L TRUCADO, PESO BRUTO TOTAL</t>
  </si>
  <si>
    <t>5903</t>
  </si>
  <si>
    <t>5934</t>
  </si>
  <si>
    <t>ROLO COMPACTADOR PE DE CARNEIRO VIBRATORIO, POTENCIA</t>
  </si>
  <si>
    <t>TRATOR DE PNEUS COM POTÊNCIA DE 85 CV, TRAÇÃO 4X4, COM</t>
  </si>
  <si>
    <t>EXECUÇÃO E COMPACTAÇÃO DE SUB BASE COM SOLO ESTABILIZADO GRANULOMETRICAMENTE - EXCLUSIVE ESCAVAÇÃO, CARGA E TRANSPORTE E SOLO. AF_09/2017</t>
  </si>
  <si>
    <t>COMP. 5.3</t>
  </si>
  <si>
    <t>GRADE DE DISCO REBOCÁVEL COM 20 DISCOS 24  X 6 MM COM PNEUS</t>
  </si>
  <si>
    <t>5923</t>
  </si>
  <si>
    <t>73436</t>
  </si>
  <si>
    <t>ROLO COMPACTADOR VIBRATÓRIO PÉ DE CARNEIRO PARA SOLOS,</t>
  </si>
  <si>
    <t>89035</t>
  </si>
  <si>
    <t>TRATOR DE PNEUS, POTÊNCIA 85 CV, TRAÇÃO 4X4, PESO COM</t>
  </si>
  <si>
    <t>89036</t>
  </si>
  <si>
    <t>93244</t>
  </si>
  <si>
    <t>96463</t>
  </si>
  <si>
    <t>ROLO COMPACTADOR DE PNEUS, ESTATICO, PRESSAO VARIAVEL,</t>
  </si>
  <si>
    <t>96464</t>
  </si>
  <si>
    <t>EXECUÇÃO DE IMPRIMAÇÃO COM ASFALTO DILUÍDO CM-30</t>
  </si>
  <si>
    <t>COMP. 5.5</t>
  </si>
  <si>
    <t>5839</t>
  </si>
  <si>
    <t>VASSOURA MECÂNICA REBOCÁVEL COM ESCOVA CILÍNDRICA, LARGURA</t>
  </si>
  <si>
    <t>5841</t>
  </si>
  <si>
    <t>83362</t>
  </si>
  <si>
    <t>ESPARGIDOR DE ASFALTO PRESSURIZADO, TANQUE 6 M3 COM</t>
  </si>
  <si>
    <t>91486</t>
  </si>
  <si>
    <t>ASFALTO DILUIDO DE PETROLEO CM-30 (COLETADO ANP ACRESCIDO DE ICMS)</t>
  </si>
  <si>
    <t>PINTURA DE LIGACAO COM EMULSAO RR-2C</t>
  </si>
  <si>
    <t>COMP. 5.6</t>
  </si>
  <si>
    <t>96013</t>
  </si>
  <si>
    <t>TRATOR DE PNEUS COM POTÊNCIA DE 122 CV, TRAÇÃO 4X4, COM</t>
  </si>
  <si>
    <t>96014</t>
  </si>
  <si>
    <t>00041903</t>
  </si>
  <si>
    <t>EMULSAO ASFALTICA CATIONICA RR-2C PARA USO EM PAVIMENTACAO ASFALTICA (COLETADO ANP ACRESCIDO DE ICMS)</t>
  </si>
  <si>
    <t>CONSTRUÇÃO DE PAVIMENTO COM APLICAÇÃO DE CONCRETO BETUMINOSO USINADO A QUENTE (CBUQ), CAMADA DE ROLAMENTO, COM ESPESSURA DE 3,0 CM - EXCLUSIVE TRANSPORTE</t>
  </si>
  <si>
    <t>COMP. 5.7</t>
  </si>
  <si>
    <t>VIBROACABADORA DE ASFALTO SOBRE ESTEIRAS, LARGURA DE</t>
  </si>
  <si>
    <t>5837</t>
  </si>
  <si>
    <t>88314</t>
  </si>
  <si>
    <t>RASTELEIRO COM ENCARGOS COMPLEMENTARES</t>
  </si>
  <si>
    <t>ROLO COMPACTADOR VIBRATORIO TANDEM, ACO LISO, POTENCIA 125</t>
  </si>
  <si>
    <t>95632</t>
  </si>
  <si>
    <t>96157</t>
  </si>
  <si>
    <t>CONCRETO BETUMINOSO USINADO A QUENTE (CBUQ) PARA PAVIMENTACAO ASFALTICA, PADRAO DNIT, FAIXA C, COM CAP 50/70 - AQUISICAO POSTO USINA</t>
  </si>
  <si>
    <t>T</t>
  </si>
  <si>
    <t>CARGA, MANOBRAS E DESCARGA DE MISTURA BETUMINOSA A QUENTE, COM CAMINHAO BASCULANTE 6 M3, DESCARGA EM VIBRO-ACABADORA</t>
  </si>
  <si>
    <t>COMP. 5.8</t>
  </si>
  <si>
    <t>5811</t>
  </si>
  <si>
    <t>CAMINHÃO BASCULANTE 6 M3, PESO BRUTO TOTAL 16.000 KG, CARGA</t>
  </si>
  <si>
    <t>TRANSPORTE COM CAMINHÃO BASCULANTE 10 M3 DE MASSA ASFALTICA PARA PAVIMENTAÇÃO URBANA</t>
  </si>
  <si>
    <t>COMP. 5.11</t>
  </si>
  <si>
    <t>SINALIZACAO HORIZONTAL COM TINTA RETRORREFLETIVA A BASE DE RESINA ACRILICA COM MICROESFERAS DE VIDRO</t>
  </si>
  <si>
    <t>COMP. 6.1</t>
  </si>
  <si>
    <t>CAMINHÃO TOCO, PBT 16.000 KG, CARGA ÚTIL MÁX. 10.685 KG,</t>
  </si>
  <si>
    <t>MÁQUINA DEMARCADORA DE FAIXA DE TRÁFEGO À FRIO,</t>
  </si>
  <si>
    <t>MICROESFERAS DE VIDRO PARA SINALIZACAO HORIZONTAL VIARIA, TIPO I-B (PREMIX) - NBR 16184</t>
  </si>
  <si>
    <t>05318</t>
  </si>
  <si>
    <t>SOLVENTE DILUENTE A BASE DE AGUARRAS</t>
  </si>
  <si>
    <t>L</t>
  </si>
  <si>
    <t>TINTA A BASE DE RESINA ACRILICA, PARA SINALIZACAO HORIZONTAL VIARIA (NBR 11862)</t>
  </si>
  <si>
    <t>TINTA ACRILICA PREMIUM PARA PISO</t>
  </si>
  <si>
    <t>88309</t>
  </si>
  <si>
    <t>PEDREIRO COM ENCARGOS COMPLEMENTARES</t>
  </si>
  <si>
    <t>PLACA ESMALTADA PARA IDENTIFICAÇÃO NR DE RUA, DIMENSÕES 45X25CM</t>
  </si>
  <si>
    <t>COMP. 7.3</t>
  </si>
  <si>
    <t>11950</t>
  </si>
  <si>
    <t>BUCHA DE NYLON SEM ABA S6, COM PARAFUSO DE 4,20 X 40 MM EM ACO ZINCADO COM ROSCA SOBERBA, CABECA CHATA E FENDA PHILLIPS</t>
  </si>
  <si>
    <t>13521</t>
  </si>
  <si>
    <t>PLACA DE ACO ESMALTADA PARA IDENTIFICACAO DE RUA, *45 CM X 20* CM</t>
  </si>
  <si>
    <t>ISOLAMENTO DE OBRA COM TELA PLASTICA COM MALHA DE 5MM E ESTRUTURA DE MADEIRA PONTALETEADA</t>
  </si>
  <si>
    <t>COMP. 8.2</t>
  </si>
  <si>
    <t>AJUDANTE DE CARPINTEIRO COM ENCARGOS COMPLEMENTARES</t>
  </si>
  <si>
    <t>04509</t>
  </si>
  <si>
    <t>TABUA DE MADEIRA NAO APARELHADA *2,5 X 10 CM (1 X 4 ) PINUS, MISTA OU EQUIVALENTE DA REGIAO</t>
  </si>
  <si>
    <t>05061</t>
  </si>
  <si>
    <t>PREGO DE ACO POLIDO COM CABECA 18 X 27 (2 1/2 X 10)</t>
  </si>
  <si>
    <t>07170</t>
  </si>
  <si>
    <t>TELA FACHADEIRA EM POLIETILENO, ROLO DE 3 X 100 M (L X C), COR BRANCA, SEM LOGOMARCA - PARA PROTECAO DE OBRAS</t>
  </si>
  <si>
    <t>PASSADICOS COM TABUAS DE MADEIRA PARA PEDESTRES</t>
  </si>
  <si>
    <t>COMP. 8.3</t>
  </si>
  <si>
    <t>VIGA DE MADEIRA NAO APARELHADA *6 X 16* CM, MACARANDUBA, ANGELIM OU EQUIVALENTE DA REGIAO</t>
  </si>
  <si>
    <t>06189</t>
  </si>
  <si>
    <t>TABUA DE MADEIRA NAO APARELHADA *2,5 X 30* CM, CEDRINHO OU EQUIVALENTE DA REGIAO</t>
  </si>
  <si>
    <t>Regularização e compactação manual de terreno (fundo de vala) - PREPARO DE FUNDO DE VALA COM LARGURA MENOR QUE 1,5 M, EM LOCAL COM NÍVEL BAIXO DE INTERFERÊNCIA</t>
  </si>
  <si>
    <t>COMP. 8.5</t>
  </si>
  <si>
    <t>91533</t>
  </si>
  <si>
    <t>COMPACTADOR DE SOLOS DE PERCUSSÃO (SOQUETE) COM MOTOR</t>
  </si>
  <si>
    <t>91534</t>
  </si>
  <si>
    <t>Fornecimento e aplicação de Lastro de Brita  (com preparo de fundo de valas) - LASTRO DE VALA COM PREPARO DE FUNDO, LARGURA MENOR QUE 1,5 M, COM CAMADA DE BRITA, LANÇAMENTO MANUAL, EM LOCAL COM NÍVEL BAIXO DE INTERFERÊNCIA</t>
  </si>
  <si>
    <t>COMP. 8.6</t>
  </si>
  <si>
    <t>04720</t>
  </si>
  <si>
    <t>PEDRA BRITADA N. 0, OU PEDRISCO (4,8 A 9,5 MM) POSTO PEDREIRA/FORNECEDOR, SEM FRETE</t>
  </si>
  <si>
    <t>CARGA E DESCARGA MECANICA DE SOLO UTILIZANDO CAMINHAO BASCULANTE 6,0M3/16T E PA CARREGADEIRA SOBRE PNEUS 128 HP, CAPACIDADE DA CAÇAMBA 1,7 A 2,8 M3, PESO OPERACIONAL 11632 KG</t>
  </si>
  <si>
    <t>PÁ CARREGADEIRA SOBRE RODAS, POTÊNCIA LÍQUIDA 128 HP,</t>
  </si>
  <si>
    <t>COMP. 8.10</t>
  </si>
  <si>
    <t>ESCORAMENTO DE VALA, TIPO PONTALETEAMENTO, COM PROFUNDIDADE DE 0 A 1,5 M, LARGURA MAIOR OU IGUAL A 1,5 M E MENOR QUE 2,5 M, EM LOCAL COM NÍVEL ALTO DE INTERFERÊNCIA.</t>
  </si>
  <si>
    <t>COMP. 8.11</t>
  </si>
  <si>
    <t>21138</t>
  </si>
  <si>
    <t>MADEIRA ROLICA TRATADA, EUCALIPTO OU EQUIVALENTE DA REGIAO, H = 2,2 M, D = 8 A 11 CM (PARA CERCA)</t>
  </si>
  <si>
    <t>ATERRO            (m³)</t>
  </si>
  <si>
    <t>COMP. 5.4</t>
  </si>
  <si>
    <t>EXECUÇÃO E COMPACTAÇÃO DE BASE COM SOLO ESTABILIZADO GRANULOMETRICAMENTE - EXCLUSIVE ESCAVAÇÃO, CARGA E TRANSPORTE E SOLO. AF_09/2017</t>
  </si>
  <si>
    <t>COMP. 8.12</t>
  </si>
  <si>
    <t>Comp. 8.2</t>
  </si>
  <si>
    <t>Isolamento de obra com tela plástica com malha de 5mm e estrutura de madeira pontaleteada</t>
  </si>
  <si>
    <t>Comp. 8.3</t>
  </si>
  <si>
    <t>Passadicos de madeira para pedestres</t>
  </si>
  <si>
    <t>Escavação mecanizada de vala com prof. até 1,5 m (média entre montante e jusante/uma composição por trecho), com retroescavadeira (0,26 m3/88 hp), larg. de 1,5 m a 2,5 m, em solo de 1a categoria, em locais com alto nível de interferência. af_01/2015</t>
  </si>
  <si>
    <t>8.6</t>
  </si>
  <si>
    <t>8.7</t>
  </si>
  <si>
    <t>Reaterro mecanizado de vala com retroescavadeira (capacidade da caçamb a da retro: 0,26 m³ / potência: 88 hp), largura de 0,8 a 1,5 m, profun didade de 1,5 a 3,0 m, com solo (sem substituição) de 1ª categoria em locais com alto nível de interferência. af_04/2016</t>
  </si>
  <si>
    <t>8.8</t>
  </si>
  <si>
    <t>9.0</t>
  </si>
  <si>
    <t>9.1</t>
  </si>
  <si>
    <t>ÓRGÃOS ACESSÓRIOS</t>
  </si>
  <si>
    <t>TUBO 600MM (RAMAL - BLD)</t>
  </si>
  <si>
    <t>BLD - Boca de lobo dupla, c/abertura pela guia 1,00m - conforme protjeto tipo</t>
  </si>
  <si>
    <t>P9824</t>
  </si>
  <si>
    <t>SERVENTE</t>
  </si>
  <si>
    <t>ARMAÇÃO EM AÇO CA-50 - FORNECIMENTO, PREPARO E</t>
  </si>
  <si>
    <t>1109669</t>
  </si>
  <si>
    <t>ARGAMASSA DE CIMENTO E AREIA 1:3 - CONFECÇÃO EM BETONEIRA E</t>
  </si>
  <si>
    <t>M³</t>
  </si>
  <si>
    <t>1107896</t>
  </si>
  <si>
    <t>CONCRETO FCK = 25 MPA - CONFECÇÃO EM BETONEIRA E</t>
  </si>
  <si>
    <t>2009619</t>
  </si>
  <si>
    <t>ALVENARIA DE BLOCOS DE CONCRETO 19 X 19 X 39 CM COM</t>
  </si>
  <si>
    <t>M²</t>
  </si>
  <si>
    <t>3103302</t>
  </si>
  <si>
    <t>FÔRMAS DE TÁBUAS DE PINHO PARA DISPOSITIVOS DE DRENAGEM -</t>
  </si>
  <si>
    <t xml:space="preserve">Data Base: Dez./2021 (SINAPI) e Jul./2021 (SICRO) sem desoneração     </t>
  </si>
  <si>
    <t>PLACA DE OBRA EM CHAPA DE AÇO GALVANIZADO</t>
  </si>
  <si>
    <t>BAIRRO</t>
  </si>
  <si>
    <t>VIII</t>
  </si>
  <si>
    <t>XI</t>
  </si>
  <si>
    <t>OBRA: PAVIMENTAÇÃO DE VIAS URBANAS</t>
  </si>
  <si>
    <t>JUZANTE</t>
  </si>
  <si>
    <t>COMP. 11.11</t>
  </si>
  <si>
    <t>Linha de Bueiro BSTC Ø 1,50 (Rua K e Avenida Um)</t>
  </si>
  <si>
    <t>TUBO 800MM (TUBULAÇÃO PRINCIPAL)</t>
  </si>
  <si>
    <t>NOTAS DE SERVIÇO DE OBRAS DE ARTE CORRENTES - BUEIRO</t>
  </si>
  <si>
    <t>TIPO E DIMENSÃO DO BUEIRO</t>
  </si>
  <si>
    <t>ESCON-SIDADE                           ( º )</t>
  </si>
  <si>
    <t>POSIÇÃO DE MONTA-GEM</t>
  </si>
  <si>
    <t>TIPO DO  TUBO</t>
  </si>
  <si>
    <t>DECLIVI-DADE        %</t>
  </si>
  <si>
    <t>COMPRIMENTO                                      (m)</t>
  </si>
  <si>
    <t>COTAS DA</t>
  </si>
  <si>
    <t xml:space="preserve">COTA DO GREIDE             </t>
  </si>
  <si>
    <t>TIPO                          DAS BOCAS</t>
  </si>
  <si>
    <t>TIPO         DO      BERÇO</t>
  </si>
  <si>
    <t>TIPO DO SERVIÇO</t>
  </si>
  <si>
    <t>ESCORAMENTO CONTÍNUO E DESCONTÍNUO</t>
  </si>
  <si>
    <t>VOLUMES</t>
  </si>
  <si>
    <t>TRANSPORTE BOTA-FORA</t>
  </si>
  <si>
    <t xml:space="preserve">GERATRIZ </t>
  </si>
  <si>
    <t>ALTURA</t>
  </si>
  <si>
    <t>DESC.</t>
  </si>
  <si>
    <t>ESTIMADOS</t>
  </si>
  <si>
    <t>INFERIOR</t>
  </si>
  <si>
    <t>ATERRO</t>
  </si>
  <si>
    <t>D'ÁGUA</t>
  </si>
  <si>
    <t>COMPR.</t>
  </si>
  <si>
    <t>DISSIPADOR</t>
  </si>
  <si>
    <t>(m³)</t>
  </si>
  <si>
    <t>desc degrau</t>
  </si>
  <si>
    <t>Área Esc. Seção</t>
  </si>
  <si>
    <t>Altura bueiro</t>
  </si>
  <si>
    <t>Largura Seção bueiro</t>
  </si>
  <si>
    <t>Vol bueiro c/berço</t>
  </si>
  <si>
    <t>ESQ.</t>
  </si>
  <si>
    <t>DIR.</t>
  </si>
  <si>
    <t>MONT.</t>
  </si>
  <si>
    <t>JUS.</t>
  </si>
  <si>
    <t>REATERRO</t>
  </si>
  <si>
    <t>(m2)</t>
  </si>
  <si>
    <t>c/berço  (m)</t>
  </si>
  <si>
    <t>c/berço (m2)</t>
  </si>
  <si>
    <t>(m3)</t>
  </si>
  <si>
    <t>NT</t>
  </si>
  <si>
    <t>C</t>
  </si>
  <si>
    <t>IM</t>
  </si>
  <si>
    <t>SOMATÓRIO DAS QUANTIDADES</t>
  </si>
  <si>
    <t>BOCAS DE BUEIROS</t>
  </si>
  <si>
    <t>DAD-08</t>
  </si>
  <si>
    <t>ESCORAMENTO</t>
  </si>
  <si>
    <t>TRANSPORTE</t>
  </si>
  <si>
    <t>BUEIROS</t>
  </si>
  <si>
    <t>und</t>
  </si>
  <si>
    <t>DEB-03</t>
  </si>
  <si>
    <t>SENTIDO DO ESTAQUEAMENTO</t>
  </si>
  <si>
    <t>LEGENDA</t>
  </si>
  <si>
    <t>Normal</t>
  </si>
  <si>
    <t>NT - NÍVEL DO TERRENO</t>
  </si>
  <si>
    <t>C - CONCRETO</t>
  </si>
  <si>
    <t>E = Esquerda</t>
  </si>
  <si>
    <t xml:space="preserve">             </t>
  </si>
  <si>
    <t>IM - IMPLANTAR</t>
  </si>
  <si>
    <t>D = Direita</t>
  </si>
  <si>
    <t>Rua</t>
  </si>
  <si>
    <t>BSTC Ø 1,50</t>
  </si>
  <si>
    <t>LE</t>
  </si>
  <si>
    <t>ESPESSURA</t>
  </si>
  <si>
    <t>Rua Anchieta</t>
  </si>
  <si>
    <t>Ambos (ida e volta)</t>
  </si>
  <si>
    <t>Rua Guimarães Rosa</t>
  </si>
  <si>
    <t>Rua Mal. Rondon</t>
  </si>
  <si>
    <t>Rua Jasmin</t>
  </si>
  <si>
    <t>Rua Mal. Floriano Peixoto</t>
  </si>
  <si>
    <t>Rua Nora Ney</t>
  </si>
  <si>
    <t>Rua Pres. Epitácio Pessoa</t>
  </si>
  <si>
    <t>Rua Ataulfo Alves</t>
  </si>
  <si>
    <t>Rua Carmem Miranda</t>
  </si>
  <si>
    <t>Rua Araci de Almeida</t>
  </si>
  <si>
    <t>Rua Julio Louzada</t>
  </si>
  <si>
    <t>Faixa branca (bordo)</t>
  </si>
  <si>
    <t>Faixa amarela (eixo)</t>
  </si>
  <si>
    <t>FAIXA AMARELA</t>
  </si>
  <si>
    <t>Descontínua</t>
  </si>
  <si>
    <t xml:space="preserve">TOTAL </t>
  </si>
  <si>
    <t>EXTENSÃO TOTAL</t>
  </si>
  <si>
    <t>RESUMO DA SINALIZAÇÃO</t>
  </si>
  <si>
    <t>FAIXA BRANCA CONTÍNUA</t>
  </si>
  <si>
    <t>FAIXA BRANCA RETENÇÃO 0,40m</t>
  </si>
  <si>
    <t>FAIXA BRANCA BORDO</t>
  </si>
  <si>
    <t>FAIXA AMARELA 2X4</t>
  </si>
  <si>
    <t>FAIXA AMARELA CONTÍNUA</t>
  </si>
  <si>
    <t>SETAS, ZEBRADOS E LETRAS</t>
  </si>
  <si>
    <t>TOTAL (m²)</t>
  </si>
  <si>
    <t>TOTAL (un)</t>
  </si>
  <si>
    <t>Dissipador de energia - DEB 07 - areia, brita e pedra de mão comerciais</t>
  </si>
  <si>
    <t>Corpo de BSTC D = 1,50 m PA1 - areia, brita e pedra de mão comerciais</t>
  </si>
  <si>
    <t>Boca de BSTC D = 1,50 m - esconsidade 0° - areia e brita comerciais - alas esconsas</t>
  </si>
  <si>
    <t>JULHO/2022 SICRO</t>
  </si>
  <si>
    <t>Obra: Ouro Branco</t>
  </si>
  <si>
    <t>Ii  (Dezembro/2022)</t>
  </si>
  <si>
    <t>DEZEMBRO/2022 SINAPI</t>
  </si>
  <si>
    <t>Data Base: Dez./2022 (SINAPI) e Jul./2022 (SICRO) sem desoneração</t>
  </si>
  <si>
    <t>MAPIM</t>
  </si>
  <si>
    <t>Rua Março</t>
  </si>
  <si>
    <t>Rua Belga</t>
  </si>
  <si>
    <t>BSCC 2,50 x 2,50</t>
  </si>
  <si>
    <t>RUA BELGA</t>
  </si>
  <si>
    <t>RUA JULHO</t>
  </si>
  <si>
    <t>RUA MARÇO</t>
  </si>
  <si>
    <t>BAIRRO: MAPIM</t>
  </si>
  <si>
    <t>Rua Belga, Rua Março e Rua Julho</t>
  </si>
  <si>
    <t>Conduto de ligação (BLD) - Rua Belga x 2</t>
  </si>
  <si>
    <t>Dissipadores de Energia Aplicáveis à Saída de Bueiros - DEB07 (Rua Março)</t>
  </si>
  <si>
    <t>Boca Simples Tubular de Concreto BSTC Ø 1,50 (Rua Março)</t>
  </si>
  <si>
    <t>Linha de Galeria BSCC 2,50 X 2,50m ( Rua Belga)</t>
  </si>
  <si>
    <t>Escavação de Vala Mat. 1ª Cat. do Bueiro (Rua Março e Rua Belga)</t>
  </si>
  <si>
    <t>Reaterro e Compactação do Bueiro (Rua Março e Rua Belga)</t>
  </si>
  <si>
    <t>Corpo de BSCC 2,50 x 2,50 m - moldado no local - altura do aterro 1,00 a 2,50 m - areia e brita comerciais</t>
  </si>
  <si>
    <t>Boca de BSCC 2,50 x 2,50 m - esconsidade 0° - areia e brita comerciais</t>
  </si>
  <si>
    <t>Boca Simples Celular de Concreto BSCC 2,50 X 2,50m ( Rua Belga)</t>
  </si>
  <si>
    <r>
      <t xml:space="preserve">NOTA DE  SERVIÇO DE  SINALIZAÇÃO  HORIZONTAL - </t>
    </r>
    <r>
      <rPr>
        <b/>
        <sz val="10"/>
        <rFont val="Times New Roman"/>
        <family val="1"/>
      </rPr>
      <t>FAIXA AMARELA</t>
    </r>
    <r>
      <rPr>
        <sz val="10"/>
        <color indexed="13"/>
        <rFont val="Times New Roman"/>
        <family val="1"/>
      </rPr>
      <t xml:space="preserve"> </t>
    </r>
    <r>
      <rPr>
        <sz val="10"/>
        <rFont val="Times New Roman"/>
        <family val="1"/>
      </rPr>
      <t>- MAPIM</t>
    </r>
  </si>
  <si>
    <t>NOTA  DE  SERVIÇO DE SINALIZAÇÃO VERTICAL - MAPIM</t>
  </si>
  <si>
    <t>Esquina com a RuaMarço e Av. H (posicionar a 5 metros do bordo da pista transversal)</t>
  </si>
  <si>
    <t>Esquina com a Rua Quitanda e Av H  (posicionar a 5 metros do bordo da pista transversal)</t>
  </si>
  <si>
    <t>Esquina com a Rua Santa Rita e Rua Martim Afonso (posicionar a 5 metros do bordo da pista transversal)</t>
  </si>
  <si>
    <t>RUA BELGA (CANAL)</t>
  </si>
  <si>
    <t>ENTRADA DAGUA (UNIDADES)</t>
  </si>
  <si>
    <t>Entrada para descida d'água - EDA 02 - areia e brita comerciais</t>
  </si>
  <si>
    <t>Descida d'água de aterros tipo rápido - DAR 02 - areia e brita comerciais</t>
  </si>
  <si>
    <t>DESCIDAS DAGUA (METROS)</t>
  </si>
  <si>
    <t>9.2</t>
  </si>
  <si>
    <t>9.3</t>
  </si>
  <si>
    <t>9.4</t>
  </si>
  <si>
    <t>9.5</t>
  </si>
  <si>
    <t>9.6</t>
  </si>
  <si>
    <t>9.7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</si>
</sst>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$&quot;* #,##0.00_);_(&quot;$&quot;* \(#,##0.00\);_(&quot;$&quot;* &quot;-&quot;??_);_(@_)"/>
    <numFmt numFmtId="167" formatCode="_(&quot;R$&quot;* #,##0.00_);_(&quot;R$&quot;* \(#,##0.00\);_(&quot;R$&quot;* &quot;-&quot;??_);_(@_)"/>
    <numFmt numFmtId="168" formatCode="mmmm\-yy"/>
    <numFmt numFmtId="169" formatCode="#,##0.000"/>
    <numFmt numFmtId="170" formatCode="0.000"/>
    <numFmt numFmtId="171" formatCode="_(* #,##0.000_);_(* \(#,##0.000\);_(* &quot;-&quot;??_);_(@_)"/>
    <numFmt numFmtId="172" formatCode="&quot;Cr$&quot;#,##0_);\(&quot;Cr$&quot;#,##0\)"/>
    <numFmt numFmtId="173" formatCode="0.0"/>
    <numFmt numFmtId="174" formatCode="_(* #,##0.0000_);_(* \(#,##0.0000\);_(* &quot;-&quot;??_);_(@_)"/>
    <numFmt numFmtId="175" formatCode="_-* #,##0.000_-;\-* #,##0.000_-;_-* &quot;-&quot;???_-;_-@_-"/>
    <numFmt numFmtId="176" formatCode="_(* #,##0.00_);_(* \(#,##0.00\);_(* \-??_);_(@_)"/>
    <numFmt numFmtId="177" formatCode="_([$€-2]* #,##0.00_);_([$€-2]* \(#,##0.00\);_([$€-2]* &quot;-&quot;??_)"/>
    <numFmt numFmtId="178" formatCode="0.0%"/>
    <numFmt numFmtId="179" formatCode="#,##0.000_);[Red]\(#,##0.000\)"/>
    <numFmt numFmtId="180" formatCode="[$-F800]dddd\,\ mmmm\ dd\,\ yyyy"/>
    <numFmt numFmtId="181" formatCode="_(* #,##0.000_);_(* \(#,##0.000\);_(* \-??_);_(@_)"/>
    <numFmt numFmtId="182" formatCode="_(* #,##0.0000_);_(* \(#,##0.0000\);_(* \-????_);_(@_)"/>
    <numFmt numFmtId="183" formatCode="_(* #,##0.00000_);_(* \(#,##0.00000\);_(* \-??_);_(@_)"/>
    <numFmt numFmtId="184" formatCode="#,##0.00000"/>
    <numFmt numFmtId="185" formatCode="00\ &quot;unid.&quot;"/>
    <numFmt numFmtId="186" formatCode="000.00\ &quot;m³&quot;"/>
    <numFmt numFmtId="187" formatCode="0#"/>
    <numFmt numFmtId="188" formatCode="#\+00.00"/>
    <numFmt numFmtId="189" formatCode="####\ \Ø\ 0.00"/>
    <numFmt numFmtId="190" formatCode="00\º"/>
    <numFmt numFmtId="191" formatCode="\I"/>
  </numFmts>
  <fonts count="105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color indexed="8"/>
      <name val="Arial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Helv"/>
      <charset val="204"/>
    </font>
    <font>
      <b/>
      <sz val="8"/>
      <name val="Times New Roman"/>
      <family val="1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34"/>
      <name val="Arial"/>
      <family val="2"/>
    </font>
    <font>
      <b/>
      <sz val="10"/>
      <color indexed="9"/>
      <name val="Arial"/>
      <family val="2"/>
    </font>
    <font>
      <sz val="10"/>
      <color indexed="34"/>
      <name val="Arial"/>
      <family val="2"/>
    </font>
    <font>
      <sz val="10"/>
      <color indexed="32"/>
      <name val="Arial"/>
      <family val="2"/>
    </font>
    <font>
      <u/>
      <sz val="9"/>
      <color indexed="12"/>
      <name val="Arial"/>
      <family val="2"/>
    </font>
    <font>
      <sz val="10"/>
      <color indexed="36"/>
      <name val="Arial"/>
      <family val="2"/>
    </font>
    <font>
      <sz val="10"/>
      <color indexed="37"/>
      <name val="Arial"/>
      <family val="2"/>
    </font>
    <font>
      <sz val="10"/>
      <name val="Times New Roman"/>
      <family val="1"/>
      <charset val="204"/>
    </font>
    <font>
      <b/>
      <sz val="10"/>
      <color indexed="22"/>
      <name val="Arial"/>
      <family val="2"/>
    </font>
    <font>
      <i/>
      <sz val="10"/>
      <color indexed="23"/>
      <name val="Arial"/>
      <family val="2"/>
    </font>
    <font>
      <b/>
      <sz val="15"/>
      <color indexed="32"/>
      <name val="Arial"/>
      <family val="2"/>
    </font>
    <font>
      <b/>
      <sz val="18"/>
      <color indexed="32"/>
      <name val="Cambria"/>
      <family val="1"/>
    </font>
    <font>
      <b/>
      <sz val="13"/>
      <color indexed="32"/>
      <name val="Arial"/>
      <family val="2"/>
    </font>
    <font>
      <b/>
      <sz val="11"/>
      <color indexed="32"/>
      <name val="Arial"/>
      <family val="2"/>
    </font>
    <font>
      <sz val="10"/>
      <name val="Arial"/>
      <family val="2"/>
      <charset val="1"/>
    </font>
    <font>
      <sz val="10"/>
      <name val="Arial"/>
      <family val="2"/>
      <charset val="204"/>
    </font>
    <font>
      <sz val="12"/>
      <color indexed="8"/>
      <name val="Calibri"/>
      <family val="2"/>
    </font>
    <font>
      <b/>
      <sz val="11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rgb="FF000000"/>
      <name val="Arial"/>
      <family val="1"/>
    </font>
    <font>
      <sz val="9"/>
      <color rgb="FF333333"/>
      <name val="Arial"/>
      <family val="2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sz val="10"/>
      <name val="Arial"/>
      <family val="2"/>
    </font>
    <font>
      <b/>
      <u/>
      <sz val="14"/>
      <color indexed="8"/>
      <name val="Arial"/>
      <family val="2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  <font>
      <sz val="7"/>
      <color rgb="FF000000"/>
      <name val="Calibri"/>
      <family val="2"/>
      <scheme val="minor"/>
    </font>
    <font>
      <sz val="10"/>
      <color theme="1"/>
      <name val="Arial"/>
      <family val="2"/>
    </font>
    <font>
      <b/>
      <sz val="8"/>
      <color rgb="FF000000"/>
      <name val="Arial"/>
      <family val="2"/>
    </font>
    <font>
      <b/>
      <sz val="7"/>
      <color rgb="FF000000"/>
      <name val="Arial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4"/>
      <name val="Arial"/>
      <family val="2"/>
    </font>
    <font>
      <sz val="10"/>
      <name val="Tekton"/>
    </font>
    <font>
      <b/>
      <sz val="16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13"/>
      <name val="Times New Roman"/>
      <family val="1"/>
    </font>
    <font>
      <sz val="11"/>
      <color rgb="FF000000"/>
      <name val="Calibri"/>
      <family val="2"/>
      <scheme val="minor"/>
    </font>
    <font>
      <u/>
      <sz val="14"/>
      <name val="Times New Roman"/>
      <family val="1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11"/>
        <bgColor indexed="11"/>
      </patternFill>
    </fill>
    <fill>
      <patternFill patternType="solid">
        <fgColor indexed="3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36"/>
        <bgColor indexed="3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10"/>
        <bgColor indexed="10"/>
      </patternFill>
    </fill>
    <fill>
      <patternFill patternType="solid">
        <fgColor indexed="50"/>
      </patternFill>
    </fill>
    <fill>
      <patternFill patternType="solid">
        <fgColor indexed="5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8D8D8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rgb="FF000000"/>
      </patternFill>
    </fill>
  </fills>
  <borders count="1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0"/>
      </left>
      <right style="double">
        <color indexed="0"/>
      </right>
      <top style="double">
        <color indexed="0"/>
      </top>
      <bottom style="double">
        <color indexed="0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3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3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32"/>
      </top>
      <bottom style="double">
        <color indexed="3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093">
    <xf numFmtId="0" fontId="0" fillId="0" borderId="0"/>
    <xf numFmtId="0" fontId="3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2" fillId="2" borderId="0" applyNumberFormat="0" applyFont="0" applyFill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2" fillId="2" borderId="0" applyNumberFormat="0" applyFont="0" applyFill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2" fillId="3" borderId="0" applyNumberFormat="0" applyFont="0" applyFill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2" fillId="3" borderId="0" applyNumberFormat="0" applyFont="0" applyFill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2" fillId="4" borderId="0" applyNumberFormat="0" applyFont="0" applyFill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2" fillId="4" borderId="0" applyNumberFormat="0" applyFont="0" applyFill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2" fillId="2" borderId="0" applyNumberFormat="0" applyFont="0" applyFill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2" fillId="2" borderId="0" applyNumberFormat="0" applyFont="0" applyFill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2" fillId="4" borderId="0" applyNumberFormat="0" applyFont="0" applyFill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2" fillId="4" borderId="0" applyNumberFormat="0" applyFont="0" applyFill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2" fillId="3" borderId="0" applyNumberFormat="0" applyFont="0" applyFill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2" fillId="3" borderId="0" applyNumberFormat="0" applyFont="0" applyFill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2" fillId="2" borderId="0" applyNumberFormat="0" applyFont="0" applyFill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2" fillId="2" borderId="0" applyNumberFormat="0" applyFont="0" applyFill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2" fillId="9" borderId="0" applyNumberFormat="0" applyFont="0" applyFill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2" fillId="9" borderId="0" applyNumberFormat="0" applyFont="0" applyFill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2" fillId="14" borderId="0" applyNumberFormat="0" applyFont="0" applyFill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3" borderId="0" applyNumberFormat="0" applyBorder="0" applyAlignment="0" applyProtection="0"/>
    <xf numFmtId="0" fontId="2" fillId="14" borderId="0" applyNumberFormat="0" applyFont="0" applyFill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2" fillId="2" borderId="0" applyNumberFormat="0" applyFont="0" applyFill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2" fillId="2" borderId="0" applyNumberFormat="0" applyFont="0" applyFill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2" fillId="2" borderId="0" applyNumberFormat="0" applyFont="0" applyFill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2" fillId="2" borderId="0" applyNumberFormat="0" applyFont="0" applyFill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2" fillId="15" borderId="0" applyNumberFormat="0" applyFont="0" applyFill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2" fillId="15" borderId="0" applyNumberFormat="0" applyFont="0" applyFill="0" applyProtection="0"/>
    <xf numFmtId="0" fontId="5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33" fillId="16" borderId="0" applyNumberFormat="0" applyFont="0" applyFill="0" applyProtection="0"/>
    <xf numFmtId="0" fontId="33" fillId="16" borderId="0" applyNumberFormat="0" applyFont="0" applyFill="0" applyProtection="0"/>
    <xf numFmtId="0" fontId="6" fillId="6" borderId="0" applyNumberFormat="0" applyBorder="0" applyAlignment="0" applyProtection="0"/>
    <xf numFmtId="0" fontId="33" fillId="16" borderId="0" applyNumberFormat="0" applyFont="0" applyFill="0" applyProtection="0"/>
    <xf numFmtId="0" fontId="6" fillId="16" borderId="0" applyNumberFormat="0" applyBorder="0" applyAlignment="0" applyProtection="0"/>
    <xf numFmtId="0" fontId="33" fillId="16" borderId="0" applyNumberFormat="0" applyFont="0" applyFill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33" fillId="9" borderId="0" applyNumberFormat="0" applyFont="0" applyFill="0" applyProtection="0"/>
    <xf numFmtId="0" fontId="33" fillId="9" borderId="0" applyNumberFormat="0" applyFont="0" applyFill="0" applyProtection="0"/>
    <xf numFmtId="0" fontId="6" fillId="20" borderId="0" applyNumberFormat="0" applyBorder="0" applyAlignment="0" applyProtection="0"/>
    <xf numFmtId="0" fontId="33" fillId="9" borderId="0" applyNumberFormat="0" applyFont="0" applyFill="0" applyProtection="0"/>
    <xf numFmtId="0" fontId="6" fillId="9" borderId="0" applyNumberFormat="0" applyBorder="0" applyAlignment="0" applyProtection="0"/>
    <xf numFmtId="0" fontId="33" fillId="9" borderId="0" applyNumberFormat="0" applyFont="0" applyFill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33" fillId="14" borderId="0" applyNumberFormat="0" applyFont="0" applyFill="0" applyProtection="0"/>
    <xf numFmtId="0" fontId="33" fillId="14" borderId="0" applyNumberFormat="0" applyFont="0" applyFill="0" applyProtection="0"/>
    <xf numFmtId="0" fontId="6" fillId="12" borderId="0" applyNumberFormat="0" applyBorder="0" applyAlignment="0" applyProtection="0"/>
    <xf numFmtId="0" fontId="33" fillId="14" borderId="0" applyNumberFormat="0" applyFont="0" applyFill="0" applyProtection="0"/>
    <xf numFmtId="0" fontId="6" fillId="11" borderId="0" applyNumberFormat="0" applyBorder="0" applyAlignment="0" applyProtection="0"/>
    <xf numFmtId="0" fontId="33" fillId="14" borderId="0" applyNumberFormat="0" applyFont="0" applyFill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33" fillId="21" borderId="0" applyNumberFormat="0" applyFont="0" applyFill="0" applyProtection="0"/>
    <xf numFmtId="0" fontId="33" fillId="21" borderId="0" applyNumberFormat="0" applyFont="0" applyFill="0" applyProtection="0"/>
    <xf numFmtId="0" fontId="6" fillId="3" borderId="0" applyNumberFormat="0" applyBorder="0" applyAlignment="0" applyProtection="0"/>
    <xf numFmtId="0" fontId="33" fillId="21" borderId="0" applyNumberFormat="0" applyFont="0" applyFill="0" applyProtection="0"/>
    <xf numFmtId="0" fontId="6" fillId="17" borderId="0" applyNumberFormat="0" applyBorder="0" applyAlignment="0" applyProtection="0"/>
    <xf numFmtId="0" fontId="33" fillId="21" borderId="0" applyNumberFormat="0" applyFont="0" applyFill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33" fillId="18" borderId="0" applyNumberFormat="0" applyFont="0" applyFill="0" applyProtection="0"/>
    <xf numFmtId="0" fontId="33" fillId="18" borderId="0" applyNumberFormat="0" applyFont="0" applyFill="0" applyProtection="0"/>
    <xf numFmtId="0" fontId="6" fillId="6" borderId="0" applyNumberFormat="0" applyBorder="0" applyAlignment="0" applyProtection="0"/>
    <xf numFmtId="0" fontId="33" fillId="18" borderId="0" applyNumberFormat="0" applyFont="0" applyFill="0" applyProtection="0"/>
    <xf numFmtId="0" fontId="6" fillId="18" borderId="0" applyNumberFormat="0" applyBorder="0" applyAlignment="0" applyProtection="0"/>
    <xf numFmtId="0" fontId="33" fillId="18" borderId="0" applyNumberFormat="0" applyFont="0" applyFill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33" fillId="15" borderId="0" applyNumberFormat="0" applyFont="0" applyFill="0" applyProtection="0"/>
    <xf numFmtId="0" fontId="33" fillId="15" borderId="0" applyNumberFormat="0" applyFont="0" applyFill="0" applyProtection="0"/>
    <xf numFmtId="0" fontId="6" fillId="9" borderId="0" applyNumberFormat="0" applyBorder="0" applyAlignment="0" applyProtection="0"/>
    <xf numFmtId="0" fontId="33" fillId="15" borderId="0" applyNumberFormat="0" applyFont="0" applyFill="0" applyProtection="0"/>
    <xf numFmtId="0" fontId="6" fillId="19" borderId="0" applyNumberFormat="0" applyBorder="0" applyAlignment="0" applyProtection="0"/>
    <xf numFmtId="0" fontId="33" fillId="15" borderId="0" applyNumberFormat="0" applyFont="0" applyFill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20" borderId="0" applyNumberFormat="0" applyBorder="0" applyAlignment="0" applyProtection="0"/>
    <xf numFmtId="0" fontId="13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34" fillId="4" borderId="0" applyNumberFormat="0" applyFont="0" applyFill="0" applyProtection="0"/>
    <xf numFmtId="0" fontId="34" fillId="4" borderId="0" applyNumberFormat="0" applyFont="0" applyFill="0" applyProtection="0"/>
    <xf numFmtId="0" fontId="7" fillId="6" borderId="0" applyNumberFormat="0" applyBorder="0" applyAlignment="0" applyProtection="0"/>
    <xf numFmtId="0" fontId="34" fillId="4" borderId="0" applyNumberFormat="0" applyFont="0" applyFill="0" applyProtection="0"/>
    <xf numFmtId="0" fontId="7" fillId="4" borderId="0" applyNumberFormat="0" applyBorder="0" applyAlignment="0" applyProtection="0"/>
    <xf numFmtId="0" fontId="34" fillId="4" borderId="0" applyNumberFormat="0" applyFont="0" applyFill="0" applyProtection="0"/>
    <xf numFmtId="0" fontId="22" fillId="25" borderId="1" applyNumberFormat="0" applyAlignment="0" applyProtection="0"/>
    <xf numFmtId="0" fontId="22" fillId="25" borderId="1" applyNumberFormat="0" applyAlignment="0" applyProtection="0"/>
    <xf numFmtId="0" fontId="22" fillId="25" borderId="1" applyNumberFormat="0" applyAlignment="0" applyProtection="0"/>
    <xf numFmtId="0" fontId="35" fillId="27" borderId="1" applyNumberFormat="0" applyFont="0" applyProtection="0"/>
    <xf numFmtId="0" fontId="22" fillId="25" borderId="1" applyNumberFormat="0" applyAlignment="0" applyProtection="0"/>
    <xf numFmtId="0" fontId="8" fillId="26" borderId="1" applyNumberFormat="0" applyAlignment="0" applyProtection="0"/>
    <xf numFmtId="0" fontId="35" fillId="27" borderId="1" applyNumberFormat="0" applyFont="0" applyProtection="0"/>
    <xf numFmtId="0" fontId="22" fillId="25" borderId="1" applyNumberFormat="0" applyAlignment="0" applyProtection="0"/>
    <xf numFmtId="0" fontId="35" fillId="27" borderId="1" applyNumberFormat="0" applyFont="0" applyProtection="0"/>
    <xf numFmtId="0" fontId="2" fillId="0" borderId="0"/>
    <xf numFmtId="0" fontId="9" fillId="28" borderId="2" applyNumberFormat="0" applyAlignment="0" applyProtection="0"/>
    <xf numFmtId="0" fontId="9" fillId="28" borderId="2" applyNumberFormat="0" applyAlignment="0" applyProtection="0"/>
    <xf numFmtId="0" fontId="36" fillId="28" borderId="3" applyNumberFormat="0" applyFont="0" applyProtection="0"/>
    <xf numFmtId="0" fontId="9" fillId="28" borderId="2" applyNumberFormat="0" applyAlignment="0" applyProtection="0"/>
    <xf numFmtId="0" fontId="9" fillId="28" borderId="2" applyNumberFormat="0" applyAlignment="0" applyProtection="0"/>
    <xf numFmtId="0" fontId="36" fillId="28" borderId="3" applyNumberFormat="0" applyFont="0" applyProtection="0"/>
    <xf numFmtId="0" fontId="9" fillId="28" borderId="2" applyNumberFormat="0" applyAlignment="0" applyProtection="0"/>
    <xf numFmtId="0" fontId="36" fillId="28" borderId="3" applyNumberFormat="0" applyFo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37" fillId="0" borderId="6" applyNumberFormat="0" applyFont="0" applyAlignment="0" applyProtection="0"/>
    <xf numFmtId="0" fontId="23" fillId="0" borderId="5" applyNumberFormat="0" applyFill="0" applyAlignment="0" applyProtection="0"/>
    <xf numFmtId="0" fontId="10" fillId="0" borderId="4" applyNumberFormat="0" applyFill="0" applyAlignment="0" applyProtection="0"/>
    <xf numFmtId="0" fontId="37" fillId="0" borderId="6" applyNumberFormat="0" applyFont="0" applyAlignment="0" applyProtection="0"/>
    <xf numFmtId="0" fontId="23" fillId="0" borderId="5" applyNumberFormat="0" applyFill="0" applyAlignment="0" applyProtection="0"/>
    <xf numFmtId="0" fontId="37" fillId="0" borderId="6" applyNumberFormat="0" applyFont="0" applyAlignment="0" applyProtection="0"/>
    <xf numFmtId="0" fontId="9" fillId="28" borderId="2" applyNumberFormat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33" fillId="22" borderId="0" applyNumberFormat="0" applyFont="0" applyFill="0" applyProtection="0"/>
    <xf numFmtId="0" fontId="33" fillId="22" borderId="0" applyNumberFormat="0" applyFont="0" applyFill="0" applyProtection="0"/>
    <xf numFmtId="0" fontId="6" fillId="29" borderId="0" applyNumberFormat="0" applyBorder="0" applyAlignment="0" applyProtection="0"/>
    <xf numFmtId="0" fontId="33" fillId="22" borderId="0" applyNumberFormat="0" applyFont="0" applyFill="0" applyProtection="0"/>
    <xf numFmtId="0" fontId="6" fillId="22" borderId="0" applyNumberFormat="0" applyBorder="0" applyAlignment="0" applyProtection="0"/>
    <xf numFmtId="0" fontId="33" fillId="22" borderId="0" applyNumberFormat="0" applyFont="0" applyFill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33" fillId="30" borderId="0" applyNumberFormat="0" applyFont="0" applyFill="0" applyProtection="0"/>
    <xf numFmtId="0" fontId="33" fillId="30" borderId="0" applyNumberFormat="0" applyFont="0" applyFill="0" applyProtection="0"/>
    <xf numFmtId="0" fontId="6" fillId="20" borderId="0" applyNumberFormat="0" applyBorder="0" applyAlignment="0" applyProtection="0"/>
    <xf numFmtId="0" fontId="33" fillId="30" borderId="0" applyNumberFormat="0" applyFont="0" applyFill="0" applyProtection="0"/>
    <xf numFmtId="0" fontId="6" fillId="23" borderId="0" applyNumberFormat="0" applyBorder="0" applyAlignment="0" applyProtection="0"/>
    <xf numFmtId="0" fontId="33" fillId="30" borderId="0" applyNumberFormat="0" applyFont="0" applyFill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33" fillId="31" borderId="0" applyNumberFormat="0" applyFont="0" applyFill="0" applyProtection="0"/>
    <xf numFmtId="0" fontId="33" fillId="31" borderId="0" applyNumberFormat="0" applyFont="0" applyFill="0" applyProtection="0"/>
    <xf numFmtId="0" fontId="6" fillId="12" borderId="0" applyNumberFormat="0" applyBorder="0" applyAlignment="0" applyProtection="0"/>
    <xf numFmtId="0" fontId="33" fillId="31" borderId="0" applyNumberFormat="0" applyFont="0" applyFill="0" applyProtection="0"/>
    <xf numFmtId="0" fontId="6" fillId="24" borderId="0" applyNumberFormat="0" applyBorder="0" applyAlignment="0" applyProtection="0"/>
    <xf numFmtId="0" fontId="33" fillId="31" borderId="0" applyNumberFormat="0" applyFont="0" applyFill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33" fillId="21" borderId="0" applyNumberFormat="0" applyFont="0" applyFill="0" applyProtection="0"/>
    <xf numFmtId="0" fontId="33" fillId="21" borderId="0" applyNumberFormat="0" applyFont="0" applyFill="0" applyProtection="0"/>
    <xf numFmtId="0" fontId="6" fillId="32" borderId="0" applyNumberFormat="0" applyBorder="0" applyAlignment="0" applyProtection="0"/>
    <xf numFmtId="0" fontId="33" fillId="21" borderId="0" applyNumberFormat="0" applyFont="0" applyFill="0" applyProtection="0"/>
    <xf numFmtId="0" fontId="6" fillId="17" borderId="0" applyNumberFormat="0" applyBorder="0" applyAlignment="0" applyProtection="0"/>
    <xf numFmtId="0" fontId="33" fillId="21" borderId="0" applyNumberFormat="0" applyFont="0" applyFill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33" fillId="18" borderId="0" applyNumberFormat="0" applyFont="0" applyFill="0" applyProtection="0"/>
    <xf numFmtId="0" fontId="33" fillId="18" borderId="0" applyNumberFormat="0" applyFont="0" applyFill="0" applyProtection="0"/>
    <xf numFmtId="0" fontId="6" fillId="18" borderId="0" applyNumberFormat="0" applyBorder="0" applyAlignment="0" applyProtection="0"/>
    <xf numFmtId="0" fontId="33" fillId="18" borderId="0" applyNumberFormat="0" applyFont="0" applyFill="0" applyProtection="0"/>
    <xf numFmtId="0" fontId="6" fillId="18" borderId="0" applyNumberFormat="0" applyBorder="0" applyAlignment="0" applyProtection="0"/>
    <xf numFmtId="0" fontId="33" fillId="18" borderId="0" applyNumberFormat="0" applyFont="0" applyFill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33" fillId="23" borderId="0" applyNumberFormat="0" applyFont="0" applyFill="0" applyProtection="0"/>
    <xf numFmtId="0" fontId="33" fillId="23" borderId="0" applyNumberFormat="0" applyFont="0" applyFill="0" applyProtection="0"/>
    <xf numFmtId="0" fontId="6" fillId="23" borderId="0" applyNumberFormat="0" applyBorder="0" applyAlignment="0" applyProtection="0"/>
    <xf numFmtId="0" fontId="33" fillId="23" borderId="0" applyNumberFormat="0" applyFont="0" applyFill="0" applyProtection="0"/>
    <xf numFmtId="0" fontId="6" fillId="20" borderId="0" applyNumberFormat="0" applyBorder="0" applyAlignment="0" applyProtection="0"/>
    <xf numFmtId="0" fontId="33" fillId="23" borderId="0" applyNumberFormat="0" applyFont="0" applyFill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38" fillId="3" borderId="1" applyNumberFormat="0" applyFont="0" applyProtection="0"/>
    <xf numFmtId="0" fontId="11" fillId="7" borderId="1" applyNumberFormat="0" applyAlignment="0" applyProtection="0"/>
    <xf numFmtId="0" fontId="11" fillId="13" borderId="1" applyNumberFormat="0" applyAlignment="0" applyProtection="0"/>
    <xf numFmtId="0" fontId="38" fillId="3" borderId="1" applyNumberFormat="0" applyFont="0" applyProtection="0"/>
    <xf numFmtId="0" fontId="11" fillId="7" borderId="1" applyNumberFormat="0" applyAlignment="0" applyProtection="0"/>
    <xf numFmtId="0" fontId="38" fillId="3" borderId="1" applyNumberFormat="0" applyFont="0" applyProtection="0"/>
    <xf numFmtId="0" fontId="30" fillId="0" borderId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0" fontId="51" fillId="0" borderId="0"/>
    <xf numFmtId="0" fontId="50" fillId="0" borderId="0"/>
    <xf numFmtId="0" fontId="49" fillId="0" borderId="0"/>
    <xf numFmtId="176" fontId="49" fillId="0" borderId="0" applyBorder="0" applyProtection="0"/>
    <xf numFmtId="0" fontId="1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40" fillId="3" borderId="0" applyNumberFormat="0" applyFont="0" applyFill="0" applyProtection="0"/>
    <xf numFmtId="0" fontId="40" fillId="3" borderId="0" applyNumberFormat="0" applyFont="0" applyFill="0" applyProtection="0"/>
    <xf numFmtId="0" fontId="13" fillId="5" borderId="0" applyNumberFormat="0" applyBorder="0" applyAlignment="0" applyProtection="0"/>
    <xf numFmtId="0" fontId="40" fillId="3" borderId="0" applyNumberFormat="0" applyFont="0" applyFill="0" applyProtection="0"/>
    <xf numFmtId="0" fontId="13" fillId="3" borderId="0" applyNumberFormat="0" applyBorder="0" applyAlignment="0" applyProtection="0"/>
    <xf numFmtId="0" fontId="40" fillId="3" borderId="0" applyNumberFormat="0" applyFont="0" applyFill="0" applyProtection="0"/>
    <xf numFmtId="0" fontId="11" fillId="7" borderId="1" applyNumberFormat="0" applyAlignment="0" applyProtection="0"/>
    <xf numFmtId="0" fontId="23" fillId="0" borderId="5" applyNumberFormat="0" applyFill="0" applyAlignment="0" applyProtection="0"/>
    <xf numFmtId="167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41" fillId="10" borderId="0" applyNumberFormat="0" applyFont="0" applyFill="0" applyProtection="0"/>
    <xf numFmtId="0" fontId="41" fillId="10" borderId="0" applyNumberFormat="0" applyFont="0" applyFill="0" applyProtection="0"/>
    <xf numFmtId="0" fontId="14" fillId="13" borderId="0" applyNumberFormat="0" applyBorder="0" applyAlignment="0" applyProtection="0"/>
    <xf numFmtId="0" fontId="41" fillId="10" borderId="0" applyNumberFormat="0" applyFont="0" applyFill="0" applyProtection="0"/>
    <xf numFmtId="0" fontId="25" fillId="13" borderId="0" applyNumberFormat="0" applyBorder="0" applyAlignment="0" applyProtection="0"/>
    <xf numFmtId="0" fontId="41" fillId="10" borderId="0" applyNumberFormat="0" applyFont="0" applyFill="0" applyProtection="0"/>
    <xf numFmtId="0" fontId="25" fillId="1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/>
    <xf numFmtId="0" fontId="2" fillId="0" borderId="0"/>
    <xf numFmtId="0" fontId="2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42" fillId="0" borderId="0" applyNumberFormat="0" applyFill="0" applyBorder="0" applyProtection="0">
      <alignment vertical="top" wrapText="1"/>
    </xf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24" fillId="10" borderId="10" applyNumberFormat="0" applyFont="0" applyAlignment="0" applyProtection="0"/>
    <xf numFmtId="0" fontId="5" fillId="10" borderId="10" applyNumberFormat="0" applyFont="0" applyAlignment="0" applyProtection="0"/>
    <xf numFmtId="0" fontId="2" fillId="10" borderId="10" applyNumberFormat="0" applyFont="0" applyBorder="0" applyProtection="0"/>
    <xf numFmtId="0" fontId="24" fillId="10" borderId="10" applyNumberFormat="0" applyFont="0" applyAlignment="0" applyProtection="0"/>
    <xf numFmtId="0" fontId="24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2" fillId="10" borderId="10" applyNumberFormat="0" applyFont="0" applyBorder="0" applyProtection="0"/>
    <xf numFmtId="0" fontId="24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5" fillId="10" borderId="10" applyNumberFormat="0" applyFont="0" applyAlignment="0" applyProtection="0"/>
    <xf numFmtId="0" fontId="2" fillId="10" borderId="10" applyNumberFormat="0" applyFont="0" applyAlignment="0" applyProtection="0"/>
    <xf numFmtId="0" fontId="15" fillId="25" borderId="11" applyNumberFormat="0" applyAlignment="0" applyProtection="0"/>
    <xf numFmtId="0" fontId="31" fillId="0" borderId="12" applyNumberFormat="0" applyFont="0" applyBorder="0" applyAlignment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5" fillId="25" borderId="11" applyNumberFormat="0" applyAlignment="0" applyProtection="0"/>
    <xf numFmtId="0" fontId="15" fillId="25" borderId="11" applyNumberFormat="0" applyAlignment="0" applyProtection="0"/>
    <xf numFmtId="0" fontId="43" fillId="27" borderId="13" applyNumberFormat="0" applyFont="0" applyProtection="0"/>
    <xf numFmtId="0" fontId="15" fillId="25" borderId="11" applyNumberFormat="0" applyAlignment="0" applyProtection="0"/>
    <xf numFmtId="0" fontId="15" fillId="26" borderId="11" applyNumberFormat="0" applyAlignment="0" applyProtection="0"/>
    <xf numFmtId="0" fontId="43" fillId="27" borderId="13" applyNumberFormat="0" applyFont="0" applyProtection="0"/>
    <xf numFmtId="0" fontId="15" fillId="25" borderId="11" applyNumberFormat="0" applyAlignment="0" applyProtection="0"/>
    <xf numFmtId="0" fontId="43" fillId="27" borderId="13" applyNumberFormat="0" applyFo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6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6" fontId="2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2" fillId="0" borderId="0" applyNumberFormat="0" applyFont="0" applyFill="0" applyAlignment="0" applyProtection="0"/>
    <xf numFmtId="0" fontId="32" fillId="0" borderId="0" applyNumberFormat="0" applyFont="0" applyFill="0" applyAlignment="0" applyProtection="0"/>
    <xf numFmtId="0" fontId="10" fillId="0" borderId="0" applyNumberFormat="0" applyFill="0" applyBorder="0" applyAlignment="0" applyProtection="0"/>
    <xf numFmtId="0" fontId="32" fillId="0" borderId="0" applyNumberFormat="0" applyFont="0" applyFill="0" applyAlignment="0" applyProtection="0"/>
    <xf numFmtId="0" fontId="10" fillId="0" borderId="0" applyNumberFormat="0" applyFill="0" applyBorder="0" applyAlignment="0" applyProtection="0"/>
    <xf numFmtId="0" fontId="32" fillId="0" borderId="0" applyNumberFormat="0" applyFon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4" fillId="0" borderId="0" applyNumberFormat="0" applyFont="0" applyFill="0" applyAlignment="0" applyProtection="0"/>
    <xf numFmtId="0" fontId="44" fillId="0" borderId="0" applyNumberFormat="0" applyFont="0" applyFill="0" applyAlignment="0" applyProtection="0"/>
    <xf numFmtId="0" fontId="16" fillId="0" borderId="0" applyNumberFormat="0" applyFill="0" applyBorder="0" applyAlignment="0" applyProtection="0"/>
    <xf numFmtId="0" fontId="44" fillId="0" borderId="0" applyNumberFormat="0" applyFont="0" applyFill="0" applyAlignment="0" applyProtection="0"/>
    <xf numFmtId="0" fontId="16" fillId="0" borderId="0" applyNumberFormat="0" applyFill="0" applyBorder="0" applyAlignment="0" applyProtection="0"/>
    <xf numFmtId="0" fontId="44" fillId="0" borderId="0" applyNumberFormat="0" applyFont="0" applyFill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45" fillId="0" borderId="15" applyNumberFormat="0" applyFont="0" applyAlignment="0" applyProtection="0"/>
    <xf numFmtId="0" fontId="27" fillId="0" borderId="7" applyNumberFormat="0" applyFill="0" applyAlignment="0" applyProtection="0"/>
    <xf numFmtId="0" fontId="18" fillId="0" borderId="14" applyNumberFormat="0" applyFill="0" applyAlignment="0" applyProtection="0"/>
    <xf numFmtId="0" fontId="45" fillId="0" borderId="15" applyNumberFormat="0" applyFont="0" applyAlignment="0" applyProtection="0"/>
    <xf numFmtId="0" fontId="27" fillId="0" borderId="7" applyNumberFormat="0" applyFill="0" applyAlignment="0" applyProtection="0"/>
    <xf numFmtId="0" fontId="45" fillId="0" borderId="15" applyNumberFormat="0" applyFont="0" applyAlignment="0" applyProtection="0"/>
    <xf numFmtId="0" fontId="46" fillId="0" borderId="0" applyNumberFormat="0" applyFon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47" fillId="0" borderId="8" applyNumberFormat="0" applyFont="0" applyAlignment="0" applyProtection="0"/>
    <xf numFmtId="0" fontId="28" fillId="0" borderId="8" applyNumberFormat="0" applyFill="0" applyAlignment="0" applyProtection="0"/>
    <xf numFmtId="0" fontId="19" fillId="0" borderId="16" applyNumberFormat="0" applyFill="0" applyAlignment="0" applyProtection="0"/>
    <xf numFmtId="0" fontId="47" fillId="0" borderId="8" applyNumberFormat="0" applyFont="0" applyAlignment="0" applyProtection="0"/>
    <xf numFmtId="0" fontId="28" fillId="0" borderId="8" applyNumberFormat="0" applyFill="0" applyAlignment="0" applyProtection="0"/>
    <xf numFmtId="0" fontId="47" fillId="0" borderId="8" applyNumberFormat="0" applyFont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48" fillId="0" borderId="15" applyNumberFormat="0" applyFont="0" applyAlignment="0" applyProtection="0"/>
    <xf numFmtId="0" fontId="29" fillId="0" borderId="9" applyNumberFormat="0" applyFill="0" applyAlignment="0" applyProtection="0"/>
    <xf numFmtId="0" fontId="20" fillId="0" borderId="17" applyNumberFormat="0" applyFill="0" applyAlignment="0" applyProtection="0"/>
    <xf numFmtId="0" fontId="48" fillId="0" borderId="15" applyNumberFormat="0" applyFont="0" applyAlignment="0" applyProtection="0"/>
    <xf numFmtId="0" fontId="29" fillId="0" borderId="9" applyNumberFormat="0" applyFill="0" applyAlignment="0" applyProtection="0"/>
    <xf numFmtId="0" fontId="48" fillId="0" borderId="15" applyNumberFormat="0" applyFon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8" fillId="0" borderId="0" applyNumberFormat="0" applyFont="0" applyFill="0" applyAlignment="0" applyProtection="0"/>
    <xf numFmtId="0" fontId="48" fillId="0" borderId="0" applyNumberFormat="0" applyFont="0" applyFill="0" applyAlignment="0" applyProtection="0"/>
    <xf numFmtId="0" fontId="20" fillId="0" borderId="0" applyNumberFormat="0" applyFill="0" applyBorder="0" applyAlignment="0" applyProtection="0"/>
    <xf numFmtId="0" fontId="48" fillId="0" borderId="0" applyNumberFormat="0" applyFont="0" applyFill="0" applyAlignment="0" applyProtection="0"/>
    <xf numFmtId="0" fontId="29" fillId="0" borderId="0" applyNumberFormat="0" applyFill="0" applyBorder="0" applyAlignment="0" applyProtection="0"/>
    <xf numFmtId="0" fontId="48" fillId="0" borderId="0" applyNumberFormat="0" applyFon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6" fillId="0" borderId="0" applyNumberFormat="0" applyFont="0" applyFill="0" applyAlignment="0" applyProtection="0"/>
    <xf numFmtId="0" fontId="46" fillId="0" borderId="0" applyNumberFormat="0" applyFont="0" applyFill="0" applyAlignment="0" applyProtection="0"/>
    <xf numFmtId="0" fontId="17" fillId="0" borderId="0" applyNumberFormat="0" applyFill="0" applyBorder="0" applyAlignment="0" applyProtection="0"/>
    <xf numFmtId="0" fontId="46" fillId="0" borderId="0" applyNumberFormat="0" applyFont="0" applyFill="0" applyAlignment="0" applyProtection="0"/>
    <xf numFmtId="0" fontId="26" fillId="0" borderId="0" applyNumberFormat="0" applyFill="0" applyBorder="0" applyAlignment="0" applyProtection="0"/>
    <xf numFmtId="0" fontId="46" fillId="0" borderId="0" applyNumberFormat="0" applyFont="0" applyFill="0" applyAlignment="0" applyProtection="0"/>
    <xf numFmtId="0" fontId="21" fillId="0" borderId="19" applyNumberFormat="0" applyFill="0" applyAlignment="0" applyProtection="0"/>
    <xf numFmtId="0" fontId="21" fillId="0" borderId="19" applyNumberFormat="0" applyFill="0" applyAlignment="0" applyProtection="0"/>
    <xf numFmtId="0" fontId="3" fillId="0" borderId="20" applyNumberFormat="0" applyFont="0" applyAlignment="0" applyProtection="0"/>
    <xf numFmtId="0" fontId="21" fillId="0" borderId="19" applyNumberFormat="0" applyFill="0" applyAlignment="0" applyProtection="0"/>
    <xf numFmtId="0" fontId="21" fillId="0" borderId="18" applyNumberFormat="0" applyFill="0" applyAlignment="0" applyProtection="0"/>
    <xf numFmtId="0" fontId="3" fillId="0" borderId="20" applyNumberFormat="0" applyFont="0" applyAlignment="0" applyProtection="0"/>
    <xf numFmtId="0" fontId="21" fillId="0" borderId="19" applyNumberFormat="0" applyFill="0" applyAlignment="0" applyProtection="0"/>
    <xf numFmtId="0" fontId="3" fillId="0" borderId="20" applyNumberFormat="0" applyFont="0" applyAlignment="0" applyProtection="0"/>
    <xf numFmtId="0" fontId="21" fillId="0" borderId="19" applyNumberFormat="0" applyFill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75" fillId="0" borderId="0" applyFont="0" applyFill="0" applyBorder="0" applyAlignment="0" applyProtection="0"/>
    <xf numFmtId="0" fontId="95" fillId="0" borderId="0"/>
    <xf numFmtId="9" fontId="1" fillId="0" borderId="0" applyFont="0" applyFill="0" applyBorder="0" applyAlignment="0" applyProtection="0"/>
  </cellStyleXfs>
  <cellXfs count="1199">
    <xf numFmtId="0" fontId="0" fillId="0" borderId="0" xfId="0"/>
    <xf numFmtId="0" fontId="57" fillId="0" borderId="81" xfId="0" applyFont="1" applyBorder="1" applyAlignment="1">
      <alignment horizontal="center"/>
    </xf>
    <xf numFmtId="4" fontId="57" fillId="0" borderId="82" xfId="0" applyNumberFormat="1" applyFont="1" applyBorder="1" applyAlignment="1">
      <alignment horizontal="center"/>
    </xf>
    <xf numFmtId="4" fontId="58" fillId="0" borderId="82" xfId="0" applyNumberFormat="1" applyFont="1" applyBorder="1" applyAlignment="1">
      <alignment horizontal="center"/>
    </xf>
    <xf numFmtId="0" fontId="58" fillId="0" borderId="82" xfId="0" applyFont="1" applyBorder="1" applyAlignment="1">
      <alignment horizontal="center"/>
    </xf>
    <xf numFmtId="0" fontId="59" fillId="0" borderId="83" xfId="0" applyFont="1" applyBorder="1" applyAlignment="1">
      <alignment horizontal="center"/>
    </xf>
    <xf numFmtId="0" fontId="58" fillId="0" borderId="81" xfId="0" applyFont="1" applyBorder="1" applyAlignment="1">
      <alignment horizontal="center"/>
    </xf>
    <xf numFmtId="165" fontId="58" fillId="0" borderId="82" xfId="0" applyNumberFormat="1" applyFont="1" applyBorder="1" applyAlignment="1">
      <alignment horizontal="center"/>
    </xf>
    <xf numFmtId="4" fontId="58" fillId="0" borderId="82" xfId="0" applyNumberFormat="1" applyFont="1" applyBorder="1" applyAlignment="1">
      <alignment horizontal="right"/>
    </xf>
    <xf numFmtId="4" fontId="58" fillId="0" borderId="82" xfId="0" applyNumberFormat="1" applyFont="1" applyBorder="1"/>
    <xf numFmtId="0" fontId="58" fillId="0" borderId="82" xfId="0" applyFont="1" applyBorder="1"/>
    <xf numFmtId="0" fontId="58" fillId="0" borderId="83" xfId="0" applyFont="1" applyBorder="1"/>
    <xf numFmtId="0" fontId="58" fillId="36" borderId="0" xfId="0" applyFont="1" applyFill="1"/>
    <xf numFmtId="0" fontId="57" fillId="0" borderId="84" xfId="0" applyFont="1" applyBorder="1" applyAlignment="1">
      <alignment horizontal="center"/>
    </xf>
    <xf numFmtId="4" fontId="57" fillId="0" borderId="85" xfId="0" applyNumberFormat="1" applyFont="1" applyBorder="1" applyAlignment="1">
      <alignment horizontal="center"/>
    </xf>
    <xf numFmtId="4" fontId="58" fillId="0" borderId="85" xfId="0" applyNumberFormat="1" applyFont="1" applyBorder="1" applyAlignment="1">
      <alignment horizontal="center"/>
    </xf>
    <xf numFmtId="0" fontId="58" fillId="0" borderId="85" xfId="0" applyFont="1" applyBorder="1" applyAlignment="1">
      <alignment horizontal="center"/>
    </xf>
    <xf numFmtId="0" fontId="59" fillId="0" borderId="86" xfId="0" applyFont="1" applyBorder="1" applyAlignment="1">
      <alignment horizontal="center"/>
    </xf>
    <xf numFmtId="0" fontId="60" fillId="0" borderId="87" xfId="0" applyFont="1" applyBorder="1" applyAlignment="1">
      <alignment horizontal="center"/>
    </xf>
    <xf numFmtId="0" fontId="60" fillId="0" borderId="88" xfId="0" applyFont="1" applyBorder="1"/>
    <xf numFmtId="0" fontId="60" fillId="0" borderId="89" xfId="0" applyFont="1" applyBorder="1" applyAlignment="1">
      <alignment horizontal="center"/>
    </xf>
    <xf numFmtId="0" fontId="60" fillId="0" borderId="90" xfId="0" applyFont="1" applyBorder="1" applyAlignment="1">
      <alignment horizontal="center"/>
    </xf>
    <xf numFmtId="4" fontId="58" fillId="37" borderId="82" xfId="0" applyNumberFormat="1" applyFont="1" applyFill="1" applyBorder="1" applyAlignment="1">
      <alignment horizontal="center"/>
    </xf>
    <xf numFmtId="0" fontId="61" fillId="36" borderId="0" xfId="0" applyFont="1" applyFill="1"/>
    <xf numFmtId="0" fontId="61" fillId="36" borderId="29" xfId="0" applyFont="1" applyFill="1" applyBorder="1"/>
    <xf numFmtId="4" fontId="61" fillId="36" borderId="0" xfId="0" applyNumberFormat="1" applyFont="1" applyFill="1"/>
    <xf numFmtId="0" fontId="62" fillId="36" borderId="29" xfId="0" applyFont="1" applyFill="1" applyBorder="1"/>
    <xf numFmtId="40" fontId="61" fillId="36" borderId="0" xfId="0" applyNumberFormat="1" applyFont="1" applyFill="1"/>
    <xf numFmtId="40" fontId="61" fillId="36" borderId="30" xfId="0" applyNumberFormat="1" applyFont="1" applyFill="1" applyBorder="1"/>
    <xf numFmtId="0" fontId="61" fillId="36" borderId="30" xfId="0" applyFont="1" applyFill="1" applyBorder="1"/>
    <xf numFmtId="0" fontId="61" fillId="36" borderId="31" xfId="0" applyFont="1" applyFill="1" applyBorder="1"/>
    <xf numFmtId="0" fontId="58" fillId="36" borderId="32" xfId="0" applyFont="1" applyFill="1" applyBorder="1"/>
    <xf numFmtId="0" fontId="61" fillId="36" borderId="32" xfId="0" applyFont="1" applyFill="1" applyBorder="1"/>
    <xf numFmtId="0" fontId="61" fillId="36" borderId="33" xfId="0" applyFont="1" applyFill="1" applyBorder="1"/>
    <xf numFmtId="0" fontId="63" fillId="36" borderId="0" xfId="0" applyFont="1" applyFill="1" applyAlignment="1">
      <alignment vertical="center" wrapText="1"/>
    </xf>
    <xf numFmtId="0" fontId="52" fillId="38" borderId="34" xfId="0" applyFont="1" applyFill="1" applyBorder="1" applyAlignment="1">
      <alignment horizontal="center" vertical="center" wrapText="1"/>
    </xf>
    <xf numFmtId="0" fontId="52" fillId="38" borderId="24" xfId="0" applyFont="1" applyFill="1" applyBorder="1" applyAlignment="1">
      <alignment horizontal="center" vertical="center" wrapText="1"/>
    </xf>
    <xf numFmtId="0" fontId="52" fillId="38" borderId="35" xfId="0" applyFont="1" applyFill="1" applyBorder="1" applyAlignment="1">
      <alignment horizontal="center" vertical="center" wrapText="1"/>
    </xf>
    <xf numFmtId="0" fontId="64" fillId="36" borderId="36" xfId="0" applyFont="1" applyFill="1" applyBorder="1" applyAlignment="1">
      <alignment horizontal="center" vertical="center" wrapText="1"/>
    </xf>
    <xf numFmtId="0" fontId="64" fillId="36" borderId="37" xfId="0" applyFont="1" applyFill="1" applyBorder="1" applyAlignment="1">
      <alignment horizontal="center" vertical="center" wrapText="1"/>
    </xf>
    <xf numFmtId="0" fontId="64" fillId="36" borderId="37" xfId="0" applyFont="1" applyFill="1" applyBorder="1" applyAlignment="1">
      <alignment horizontal="left" vertical="center" wrapText="1"/>
    </xf>
    <xf numFmtId="0" fontId="65" fillId="36" borderId="37" xfId="0" applyFont="1" applyFill="1" applyBorder="1" applyAlignment="1">
      <alignment horizontal="center" vertical="center" wrapText="1"/>
    </xf>
    <xf numFmtId="0" fontId="65" fillId="36" borderId="38" xfId="0" applyFont="1" applyFill="1" applyBorder="1" applyAlignment="1">
      <alignment horizontal="center" vertical="center" wrapText="1"/>
    </xf>
    <xf numFmtId="0" fontId="0" fillId="39" borderId="0" xfId="0" applyFill="1"/>
    <xf numFmtId="0" fontId="58" fillId="0" borderId="0" xfId="0" applyFont="1"/>
    <xf numFmtId="0" fontId="58" fillId="36" borderId="39" xfId="0" applyFont="1" applyFill="1" applyBorder="1"/>
    <xf numFmtId="0" fontId="58" fillId="36" borderId="40" xfId="0" applyFont="1" applyFill="1" applyBorder="1"/>
    <xf numFmtId="0" fontId="58" fillId="36" borderId="41" xfId="0" applyFont="1" applyFill="1" applyBorder="1"/>
    <xf numFmtId="0" fontId="58" fillId="36" borderId="81" xfId="0" applyFont="1" applyFill="1" applyBorder="1" applyAlignment="1">
      <alignment horizontal="center"/>
    </xf>
    <xf numFmtId="1" fontId="58" fillId="36" borderId="91" xfId="0" applyNumberFormat="1" applyFont="1" applyFill="1" applyBorder="1" applyAlignment="1">
      <alignment horizontal="left"/>
    </xf>
    <xf numFmtId="0" fontId="58" fillId="36" borderId="92" xfId="0" applyFont="1" applyFill="1" applyBorder="1"/>
    <xf numFmtId="0" fontId="58" fillId="36" borderId="93" xfId="0" applyFont="1" applyFill="1" applyBorder="1"/>
    <xf numFmtId="4" fontId="58" fillId="36" borderId="82" xfId="0" applyNumberFormat="1" applyFont="1" applyFill="1" applyBorder="1" applyAlignment="1">
      <alignment horizontal="center"/>
    </xf>
    <xf numFmtId="0" fontId="58" fillId="36" borderId="82" xfId="0" applyFont="1" applyFill="1" applyBorder="1" applyAlignment="1">
      <alignment horizontal="center"/>
    </xf>
    <xf numFmtId="0" fontId="59" fillId="36" borderId="83" xfId="0" applyFont="1" applyFill="1" applyBorder="1" applyAlignment="1">
      <alignment horizontal="center"/>
    </xf>
    <xf numFmtId="0" fontId="58" fillId="40" borderId="81" xfId="0" applyFont="1" applyFill="1" applyBorder="1" applyAlignment="1">
      <alignment horizontal="center"/>
    </xf>
    <xf numFmtId="4" fontId="58" fillId="40" borderId="82" xfId="0" applyNumberFormat="1" applyFont="1" applyFill="1" applyBorder="1" applyAlignment="1">
      <alignment horizontal="center"/>
    </xf>
    <xf numFmtId="4" fontId="57" fillId="40" borderId="82" xfId="0" applyNumberFormat="1" applyFont="1" applyFill="1" applyBorder="1" applyAlignment="1">
      <alignment horizontal="center"/>
    </xf>
    <xf numFmtId="0" fontId="58" fillId="40" borderId="82" xfId="0" applyFont="1" applyFill="1" applyBorder="1" applyAlignment="1">
      <alignment horizontal="center"/>
    </xf>
    <xf numFmtId="0" fontId="59" fillId="40" borderId="83" xfId="0" applyFont="1" applyFill="1" applyBorder="1" applyAlignment="1">
      <alignment horizontal="center"/>
    </xf>
    <xf numFmtId="0" fontId="66" fillId="40" borderId="81" xfId="0" applyFont="1" applyFill="1" applyBorder="1" applyAlignment="1">
      <alignment horizontal="center"/>
    </xf>
    <xf numFmtId="4" fontId="66" fillId="40" borderId="82" xfId="0" applyNumberFormat="1" applyFont="1" applyFill="1" applyBorder="1" applyAlignment="1">
      <alignment horizontal="center"/>
    </xf>
    <xf numFmtId="4" fontId="67" fillId="40" borderId="82" xfId="0" applyNumberFormat="1" applyFont="1" applyFill="1" applyBorder="1" applyAlignment="1">
      <alignment horizontal="center"/>
    </xf>
    <xf numFmtId="0" fontId="66" fillId="40" borderId="82" xfId="0" applyFont="1" applyFill="1" applyBorder="1" applyAlignment="1">
      <alignment horizontal="center"/>
    </xf>
    <xf numFmtId="0" fontId="56" fillId="40" borderId="83" xfId="0" applyFont="1" applyFill="1" applyBorder="1" applyAlignment="1">
      <alignment horizontal="center"/>
    </xf>
    <xf numFmtId="0" fontId="58" fillId="0" borderId="0" xfId="0" applyFont="1" applyAlignment="1">
      <alignment vertical="center"/>
    </xf>
    <xf numFmtId="0" fontId="60" fillId="0" borderId="87" xfId="0" applyFont="1" applyBorder="1" applyAlignment="1">
      <alignment horizontal="center" vertical="center"/>
    </xf>
    <xf numFmtId="0" fontId="60" fillId="0" borderId="88" xfId="0" applyFont="1" applyBorder="1" applyAlignment="1">
      <alignment vertical="center"/>
    </xf>
    <xf numFmtId="0" fontId="60" fillId="0" borderId="89" xfId="0" applyFont="1" applyBorder="1" applyAlignment="1">
      <alignment horizontal="center" vertical="center"/>
    </xf>
    <xf numFmtId="0" fontId="60" fillId="0" borderId="90" xfId="0" applyFont="1" applyBorder="1" applyAlignment="1">
      <alignment horizontal="center" vertical="center"/>
    </xf>
    <xf numFmtId="0" fontId="57" fillId="0" borderId="84" xfId="0" applyFont="1" applyBorder="1" applyAlignment="1">
      <alignment horizontal="center" vertical="center"/>
    </xf>
    <xf numFmtId="4" fontId="57" fillId="0" borderId="85" xfId="0" applyNumberFormat="1" applyFont="1" applyBorder="1" applyAlignment="1">
      <alignment horizontal="center" vertical="center"/>
    </xf>
    <xf numFmtId="4" fontId="58" fillId="0" borderId="85" xfId="0" applyNumberFormat="1" applyFont="1" applyBorder="1" applyAlignment="1">
      <alignment horizontal="center" vertical="center"/>
    </xf>
    <xf numFmtId="0" fontId="58" fillId="0" borderId="85" xfId="0" applyFont="1" applyBorder="1" applyAlignment="1">
      <alignment horizontal="center" vertical="center"/>
    </xf>
    <xf numFmtId="0" fontId="59" fillId="0" borderId="86" xfId="0" applyFont="1" applyBorder="1" applyAlignment="1">
      <alignment horizontal="center" vertical="center"/>
    </xf>
    <xf numFmtId="0" fontId="58" fillId="0" borderId="81" xfId="0" applyFont="1" applyBorder="1" applyAlignment="1">
      <alignment horizontal="center" vertical="center"/>
    </xf>
    <xf numFmtId="4" fontId="58" fillId="0" borderId="82" xfId="0" applyNumberFormat="1" applyFont="1" applyBorder="1" applyAlignment="1">
      <alignment horizontal="center" vertical="center"/>
    </xf>
    <xf numFmtId="0" fontId="58" fillId="0" borderId="82" xfId="0" applyFont="1" applyBorder="1" applyAlignment="1">
      <alignment horizontal="center" vertical="center"/>
    </xf>
    <xf numFmtId="0" fontId="59" fillId="0" borderId="83" xfId="0" applyFont="1" applyBorder="1" applyAlignment="1">
      <alignment horizontal="center" vertical="center"/>
    </xf>
    <xf numFmtId="0" fontId="58" fillId="36" borderId="81" xfId="0" applyFont="1" applyFill="1" applyBorder="1" applyAlignment="1">
      <alignment horizontal="center" vertical="center"/>
    </xf>
    <xf numFmtId="1" fontId="58" fillId="36" borderId="91" xfId="0" applyNumberFormat="1" applyFont="1" applyFill="1" applyBorder="1" applyAlignment="1">
      <alignment horizontal="left" vertical="center"/>
    </xf>
    <xf numFmtId="0" fontId="58" fillId="36" borderId="92" xfId="0" applyFont="1" applyFill="1" applyBorder="1" applyAlignment="1">
      <alignment vertical="center"/>
    </xf>
    <xf numFmtId="0" fontId="58" fillId="36" borderId="93" xfId="0" applyFont="1" applyFill="1" applyBorder="1" applyAlignment="1">
      <alignment vertical="center"/>
    </xf>
    <xf numFmtId="4" fontId="58" fillId="36" borderId="82" xfId="0" applyNumberFormat="1" applyFont="1" applyFill="1" applyBorder="1" applyAlignment="1">
      <alignment horizontal="center" vertical="center"/>
    </xf>
    <xf numFmtId="0" fontId="58" fillId="36" borderId="82" xfId="0" applyFont="1" applyFill="1" applyBorder="1" applyAlignment="1">
      <alignment horizontal="center" vertical="center"/>
    </xf>
    <xf numFmtId="0" fontId="59" fillId="36" borderId="83" xfId="0" applyFont="1" applyFill="1" applyBorder="1" applyAlignment="1">
      <alignment horizontal="center" vertical="center"/>
    </xf>
    <xf numFmtId="0" fontId="58" fillId="36" borderId="0" xfId="0" applyFont="1" applyFill="1" applyAlignment="1">
      <alignment vertical="center"/>
    </xf>
    <xf numFmtId="0" fontId="58" fillId="40" borderId="81" xfId="0" applyFont="1" applyFill="1" applyBorder="1" applyAlignment="1">
      <alignment horizontal="center" vertical="center"/>
    </xf>
    <xf numFmtId="4" fontId="58" fillId="40" borderId="82" xfId="0" applyNumberFormat="1" applyFont="1" applyFill="1" applyBorder="1" applyAlignment="1">
      <alignment horizontal="center" vertical="center"/>
    </xf>
    <xf numFmtId="4" fontId="57" fillId="40" borderId="82" xfId="0" applyNumberFormat="1" applyFont="1" applyFill="1" applyBorder="1" applyAlignment="1">
      <alignment horizontal="center" vertical="center"/>
    </xf>
    <xf numFmtId="0" fontId="58" fillId="40" borderId="82" xfId="0" applyFont="1" applyFill="1" applyBorder="1" applyAlignment="1">
      <alignment horizontal="center" vertical="center"/>
    </xf>
    <xf numFmtId="0" fontId="59" fillId="40" borderId="83" xfId="0" applyFont="1" applyFill="1" applyBorder="1" applyAlignment="1">
      <alignment horizontal="center" vertical="center"/>
    </xf>
    <xf numFmtId="0" fontId="57" fillId="0" borderId="81" xfId="0" applyFont="1" applyBorder="1" applyAlignment="1">
      <alignment horizontal="center" vertical="center"/>
    </xf>
    <xf numFmtId="4" fontId="57" fillId="0" borderId="82" xfId="0" applyNumberFormat="1" applyFont="1" applyBorder="1" applyAlignment="1">
      <alignment horizontal="center" vertical="center"/>
    </xf>
    <xf numFmtId="0" fontId="66" fillId="40" borderId="81" xfId="0" applyFont="1" applyFill="1" applyBorder="1" applyAlignment="1">
      <alignment horizontal="center" vertical="center"/>
    </xf>
    <xf numFmtId="4" fontId="66" fillId="40" borderId="82" xfId="0" applyNumberFormat="1" applyFont="1" applyFill="1" applyBorder="1" applyAlignment="1">
      <alignment horizontal="center" vertical="center"/>
    </xf>
    <xf numFmtId="4" fontId="67" fillId="40" borderId="82" xfId="0" applyNumberFormat="1" applyFont="1" applyFill="1" applyBorder="1" applyAlignment="1">
      <alignment horizontal="center" vertical="center"/>
    </xf>
    <xf numFmtId="0" fontId="66" fillId="40" borderId="82" xfId="0" applyFont="1" applyFill="1" applyBorder="1" applyAlignment="1">
      <alignment horizontal="center" vertical="center"/>
    </xf>
    <xf numFmtId="0" fontId="56" fillId="40" borderId="83" xfId="0" applyFont="1" applyFill="1" applyBorder="1" applyAlignment="1">
      <alignment horizontal="center" vertical="center"/>
    </xf>
    <xf numFmtId="165" fontId="58" fillId="0" borderId="82" xfId="0" applyNumberFormat="1" applyFont="1" applyBorder="1" applyAlignment="1">
      <alignment horizontal="center" vertical="center"/>
    </xf>
    <xf numFmtId="4" fontId="58" fillId="37" borderId="82" xfId="0" applyNumberFormat="1" applyFont="1" applyFill="1" applyBorder="1" applyAlignment="1">
      <alignment horizontal="center" vertical="center"/>
    </xf>
    <xf numFmtId="4" fontId="58" fillId="0" borderId="82" xfId="0" applyNumberFormat="1" applyFont="1" applyBorder="1" applyAlignment="1">
      <alignment horizontal="right" vertical="center"/>
    </xf>
    <xf numFmtId="4" fontId="58" fillId="0" borderId="82" xfId="0" applyNumberFormat="1" applyFont="1" applyBorder="1" applyAlignment="1">
      <alignment vertical="center"/>
    </xf>
    <xf numFmtId="0" fontId="58" fillId="0" borderId="82" xfId="0" applyFont="1" applyBorder="1" applyAlignment="1">
      <alignment vertical="center"/>
    </xf>
    <xf numFmtId="0" fontId="58" fillId="0" borderId="83" xfId="0" applyFont="1" applyBorder="1" applyAlignment="1">
      <alignment vertical="center"/>
    </xf>
    <xf numFmtId="0" fontId="58" fillId="36" borderId="39" xfId="0" applyFont="1" applyFill="1" applyBorder="1" applyAlignment="1">
      <alignment vertical="center"/>
    </xf>
    <xf numFmtId="0" fontId="58" fillId="36" borderId="32" xfId="0" applyFont="1" applyFill="1" applyBorder="1" applyAlignment="1">
      <alignment vertical="center"/>
    </xf>
    <xf numFmtId="0" fontId="61" fillId="36" borderId="32" xfId="0" applyFont="1" applyFill="1" applyBorder="1" applyAlignment="1">
      <alignment vertical="center"/>
    </xf>
    <xf numFmtId="0" fontId="61" fillId="36" borderId="33" xfId="0" applyFont="1" applyFill="1" applyBorder="1" applyAlignment="1">
      <alignment vertical="center"/>
    </xf>
    <xf numFmtId="0" fontId="58" fillId="36" borderId="40" xfId="0" applyFont="1" applyFill="1" applyBorder="1" applyAlignment="1">
      <alignment vertical="center"/>
    </xf>
    <xf numFmtId="0" fontId="61" fillId="36" borderId="0" xfId="0" applyFont="1" applyFill="1" applyAlignment="1">
      <alignment vertical="center"/>
    </xf>
    <xf numFmtId="4" fontId="61" fillId="36" borderId="0" xfId="0" applyNumberFormat="1" applyFont="1" applyFill="1" applyAlignment="1">
      <alignment vertical="center"/>
    </xf>
    <xf numFmtId="0" fontId="61" fillId="36" borderId="29" xfId="0" applyFont="1" applyFill="1" applyBorder="1" applyAlignment="1">
      <alignment vertical="center"/>
    </xf>
    <xf numFmtId="0" fontId="62" fillId="36" borderId="29" xfId="0" applyFont="1" applyFill="1" applyBorder="1" applyAlignment="1">
      <alignment vertical="center"/>
    </xf>
    <xf numFmtId="40" fontId="61" fillId="36" borderId="0" xfId="0" applyNumberFormat="1" applyFont="1" applyFill="1" applyAlignment="1">
      <alignment vertical="center"/>
    </xf>
    <xf numFmtId="0" fontId="58" fillId="36" borderId="41" xfId="0" applyFont="1" applyFill="1" applyBorder="1" applyAlignment="1">
      <alignment vertical="center"/>
    </xf>
    <xf numFmtId="0" fontId="61" fillId="36" borderId="30" xfId="0" applyFont="1" applyFill="1" applyBorder="1" applyAlignment="1">
      <alignment vertical="center"/>
    </xf>
    <xf numFmtId="40" fontId="61" fillId="36" borderId="30" xfId="0" applyNumberFormat="1" applyFont="1" applyFill="1" applyBorder="1" applyAlignment="1">
      <alignment vertical="center"/>
    </xf>
    <xf numFmtId="0" fontId="61" fillId="36" borderId="31" xfId="0" applyFont="1" applyFill="1" applyBorder="1" applyAlignment="1">
      <alignment vertical="center"/>
    </xf>
    <xf numFmtId="0" fontId="58" fillId="36" borderId="0" xfId="0" applyFont="1" applyFill="1" applyAlignment="1">
      <alignment horizontal="center" vertical="center"/>
    </xf>
    <xf numFmtId="169" fontId="58" fillId="36" borderId="0" xfId="0" applyNumberFormat="1" applyFont="1" applyFill="1" applyAlignment="1">
      <alignment vertical="center"/>
    </xf>
    <xf numFmtId="4" fontId="58" fillId="36" borderId="0" xfId="0" applyNumberFormat="1" applyFont="1" applyFill="1" applyAlignment="1">
      <alignment vertical="center"/>
    </xf>
    <xf numFmtId="0" fontId="59" fillId="36" borderId="0" xfId="0" applyFont="1" applyFill="1" applyAlignment="1">
      <alignment horizontal="right" vertical="center"/>
    </xf>
    <xf numFmtId="0" fontId="59" fillId="36" borderId="0" xfId="0" applyFont="1" applyFill="1" applyAlignment="1">
      <alignment vertical="center"/>
    </xf>
    <xf numFmtId="2" fontId="59" fillId="36" borderId="0" xfId="0" applyNumberFormat="1" applyFont="1" applyFill="1" applyAlignment="1">
      <alignment vertical="center"/>
    </xf>
    <xf numFmtId="0" fontId="59" fillId="36" borderId="0" xfId="0" applyFont="1" applyFill="1" applyAlignment="1">
      <alignment horizontal="center" vertical="center"/>
    </xf>
    <xf numFmtId="169" fontId="59" fillId="36" borderId="0" xfId="0" applyNumberFormat="1" applyFont="1" applyFill="1" applyAlignment="1">
      <alignment horizontal="center" vertical="center"/>
    </xf>
    <xf numFmtId="169" fontId="59" fillId="36" borderId="0" xfId="0" applyNumberFormat="1" applyFont="1" applyFill="1" applyAlignment="1">
      <alignment vertical="center"/>
    </xf>
    <xf numFmtId="169" fontId="59" fillId="36" borderId="0" xfId="0" applyNumberFormat="1" applyFont="1" applyFill="1" applyAlignment="1">
      <alignment horizontal="right" vertical="center"/>
    </xf>
    <xf numFmtId="4" fontId="59" fillId="36" borderId="0" xfId="0" applyNumberFormat="1" applyFont="1" applyFill="1" applyAlignment="1">
      <alignment vertical="center"/>
    </xf>
    <xf numFmtId="0" fontId="57" fillId="0" borderId="24" xfId="0" applyFont="1" applyBorder="1" applyAlignment="1">
      <alignment horizontal="center" vertical="center"/>
    </xf>
    <xf numFmtId="4" fontId="57" fillId="36" borderId="24" xfId="0" applyNumberFormat="1" applyFont="1" applyFill="1" applyBorder="1" applyAlignment="1">
      <alignment horizontal="center" vertical="center"/>
    </xf>
    <xf numFmtId="4" fontId="58" fillId="36" borderId="24" xfId="0" applyNumberFormat="1" applyFont="1" applyFill="1" applyBorder="1" applyAlignment="1">
      <alignment horizontal="center" vertical="center"/>
    </xf>
    <xf numFmtId="0" fontId="58" fillId="36" borderId="27" xfId="0" applyFont="1" applyFill="1" applyBorder="1" applyAlignment="1">
      <alignment horizontal="left" vertical="center"/>
    </xf>
    <xf numFmtId="0" fontId="69" fillId="36" borderId="60" xfId="0" applyFont="1" applyFill="1" applyBorder="1" applyAlignment="1">
      <alignment horizontal="center" vertical="center"/>
    </xf>
    <xf numFmtId="0" fontId="69" fillId="36" borderId="49" xfId="0" applyFont="1" applyFill="1" applyBorder="1" applyAlignment="1">
      <alignment horizontal="center" vertical="center"/>
    </xf>
    <xf numFmtId="0" fontId="69" fillId="36" borderId="35" xfId="0" applyFont="1" applyFill="1" applyBorder="1" applyAlignment="1">
      <alignment horizontal="center" vertical="center" wrapText="1"/>
    </xf>
    <xf numFmtId="4" fontId="58" fillId="36" borderId="61" xfId="0" applyNumberFormat="1" applyFont="1" applyFill="1" applyBorder="1" applyAlignment="1">
      <alignment vertical="center"/>
    </xf>
    <xf numFmtId="4" fontId="69" fillId="36" borderId="62" xfId="0" applyNumberFormat="1" applyFont="1" applyFill="1" applyBorder="1" applyAlignment="1">
      <alignment vertical="center"/>
    </xf>
    <xf numFmtId="4" fontId="58" fillId="36" borderId="63" xfId="0" applyNumberFormat="1" applyFont="1" applyFill="1" applyBorder="1" applyAlignment="1">
      <alignment vertical="center"/>
    </xf>
    <xf numFmtId="171" fontId="57" fillId="36" borderId="35" xfId="1041" applyNumberFormat="1" applyFont="1" applyFill="1" applyBorder="1" applyAlignment="1">
      <alignment horizontal="right" vertical="center"/>
    </xf>
    <xf numFmtId="165" fontId="57" fillId="36" borderId="35" xfId="1041" applyFont="1" applyFill="1" applyBorder="1" applyAlignment="1">
      <alignment vertical="center"/>
    </xf>
    <xf numFmtId="165" fontId="57" fillId="36" borderId="64" xfId="1041" applyFont="1" applyFill="1" applyBorder="1" applyAlignment="1">
      <alignment vertical="center"/>
    </xf>
    <xf numFmtId="0" fontId="57" fillId="36" borderId="0" xfId="0" applyFont="1" applyFill="1" applyAlignment="1">
      <alignment vertical="center"/>
    </xf>
    <xf numFmtId="0" fontId="57" fillId="36" borderId="0" xfId="0" applyFont="1" applyFill="1" applyAlignment="1">
      <alignment vertical="center" wrapText="1"/>
    </xf>
    <xf numFmtId="0" fontId="57" fillId="36" borderId="36" xfId="0" applyFont="1" applyFill="1" applyBorder="1" applyAlignment="1">
      <alignment vertical="center"/>
    </xf>
    <xf numFmtId="0" fontId="63" fillId="36" borderId="0" xfId="0" applyFont="1" applyFill="1" applyAlignment="1">
      <alignment horizontal="left" vertical="center"/>
    </xf>
    <xf numFmtId="0" fontId="58" fillId="36" borderId="60" xfId="0" applyFont="1" applyFill="1" applyBorder="1" applyAlignment="1">
      <alignment horizontal="left" vertical="center"/>
    </xf>
    <xf numFmtId="0" fontId="57" fillId="36" borderId="60" xfId="0" applyFont="1" applyFill="1" applyBorder="1" applyAlignment="1">
      <alignment horizontal="left" vertical="center"/>
    </xf>
    <xf numFmtId="0" fontId="57" fillId="36" borderId="65" xfId="0" applyFont="1" applyFill="1" applyBorder="1" applyAlignment="1">
      <alignment horizontal="left" vertical="center"/>
    </xf>
    <xf numFmtId="0" fontId="57" fillId="36" borderId="29" xfId="0" applyFont="1" applyFill="1" applyBorder="1" applyAlignment="1">
      <alignment horizontal="left" vertical="center"/>
    </xf>
    <xf numFmtId="0" fontId="57" fillId="36" borderId="66" xfId="0" applyFont="1" applyFill="1" applyBorder="1" applyAlignment="1">
      <alignment horizontal="left" vertical="center"/>
    </xf>
    <xf numFmtId="0" fontId="69" fillId="36" borderId="25" xfId="0" applyFont="1" applyFill="1" applyBorder="1" applyAlignment="1">
      <alignment horizontal="left" vertical="center"/>
    </xf>
    <xf numFmtId="0" fontId="69" fillId="36" borderId="26" xfId="0" applyFont="1" applyFill="1" applyBorder="1" applyAlignment="1">
      <alignment horizontal="left" vertical="center"/>
    </xf>
    <xf numFmtId="0" fontId="69" fillId="36" borderId="48" xfId="0" applyFont="1" applyFill="1" applyBorder="1" applyAlignment="1">
      <alignment horizontal="left" vertical="center"/>
    </xf>
    <xf numFmtId="0" fontId="58" fillId="36" borderId="50" xfId="0" applyFont="1" applyFill="1" applyBorder="1" applyAlignment="1">
      <alignment vertical="center"/>
    </xf>
    <xf numFmtId="165" fontId="58" fillId="36" borderId="24" xfId="0" applyNumberFormat="1" applyFont="1" applyFill="1" applyBorder="1" applyAlignment="1">
      <alignment vertical="center"/>
    </xf>
    <xf numFmtId="0" fontId="58" fillId="36" borderId="24" xfId="0" applyFont="1" applyFill="1" applyBorder="1" applyAlignment="1">
      <alignment horizontal="center" vertical="center" wrapText="1"/>
    </xf>
    <xf numFmtId="0" fontId="70" fillId="36" borderId="24" xfId="0" applyFont="1" applyFill="1" applyBorder="1" applyAlignment="1">
      <alignment horizontal="center" vertical="center" wrapText="1"/>
    </xf>
    <xf numFmtId="0" fontId="58" fillId="36" borderId="24" xfId="0" applyFont="1" applyFill="1" applyBorder="1" applyAlignment="1">
      <alignment horizontal="left" vertical="center" wrapText="1"/>
    </xf>
    <xf numFmtId="171" fontId="58" fillId="36" borderId="24" xfId="1041" applyNumberFormat="1" applyFont="1" applyFill="1" applyBorder="1" applyAlignment="1">
      <alignment horizontal="center" vertical="center"/>
    </xf>
    <xf numFmtId="165" fontId="58" fillId="36" borderId="24" xfId="1041" applyFont="1" applyFill="1" applyBorder="1" applyAlignment="1">
      <alignment vertical="center"/>
    </xf>
    <xf numFmtId="0" fontId="58" fillId="36" borderId="24" xfId="0" applyFont="1" applyFill="1" applyBorder="1" applyAlignment="1">
      <alignment vertical="center"/>
    </xf>
    <xf numFmtId="165" fontId="57" fillId="36" borderId="24" xfId="0" applyNumberFormat="1" applyFont="1" applyFill="1" applyBorder="1" applyAlignment="1">
      <alignment vertical="center"/>
    </xf>
    <xf numFmtId="0" fontId="58" fillId="36" borderId="49" xfId="0" applyFont="1" applyFill="1" applyBorder="1" applyAlignment="1">
      <alignment horizontal="center" vertical="center"/>
    </xf>
    <xf numFmtId="0" fontId="58" fillId="36" borderId="50" xfId="0" applyFont="1" applyFill="1" applyBorder="1" applyAlignment="1">
      <alignment horizontal="center" vertical="center"/>
    </xf>
    <xf numFmtId="0" fontId="58" fillId="36" borderId="27" xfId="0" applyFont="1" applyFill="1" applyBorder="1" applyAlignment="1">
      <alignment horizontal="center" vertical="center"/>
    </xf>
    <xf numFmtId="169" fontId="58" fillId="36" borderId="24" xfId="1041" applyNumberFormat="1" applyFont="1" applyFill="1" applyBorder="1" applyAlignment="1">
      <alignment horizontal="center" vertical="center"/>
    </xf>
    <xf numFmtId="0" fontId="69" fillId="36" borderId="50" xfId="0" applyFont="1" applyFill="1" applyBorder="1" applyAlignment="1">
      <alignment vertical="center"/>
    </xf>
    <xf numFmtId="0" fontId="57" fillId="36" borderId="27" xfId="0" applyFont="1" applyFill="1" applyBorder="1" applyAlignment="1">
      <alignment vertical="center"/>
    </xf>
    <xf numFmtId="0" fontId="57" fillId="36" borderId="24" xfId="0" applyFont="1" applyFill="1" applyBorder="1" applyAlignment="1">
      <alignment horizontal="left" vertical="center"/>
    </xf>
    <xf numFmtId="0" fontId="58" fillId="36" borderId="24" xfId="0" applyFont="1" applyFill="1" applyBorder="1" applyAlignment="1">
      <alignment vertical="center" wrapText="1"/>
    </xf>
    <xf numFmtId="169" fontId="58" fillId="36" borderId="24" xfId="0" applyNumberFormat="1" applyFont="1" applyFill="1" applyBorder="1" applyAlignment="1">
      <alignment horizontal="center" vertical="center"/>
    </xf>
    <xf numFmtId="165" fontId="58" fillId="36" borderId="24" xfId="1041" applyFont="1" applyFill="1" applyBorder="1" applyAlignment="1">
      <alignment horizontal="center" vertical="center"/>
    </xf>
    <xf numFmtId="165" fontId="58" fillId="36" borderId="24" xfId="0" applyNumberFormat="1" applyFont="1" applyFill="1" applyBorder="1" applyAlignment="1">
      <alignment horizontal="center" vertical="center"/>
    </xf>
    <xf numFmtId="0" fontId="57" fillId="36" borderId="23" xfId="0" applyFont="1" applyFill="1" applyBorder="1" applyAlignment="1">
      <alignment vertical="center"/>
    </xf>
    <xf numFmtId="169" fontId="58" fillId="36" borderId="24" xfId="0" applyNumberFormat="1" applyFont="1" applyFill="1" applyBorder="1" applyAlignment="1">
      <alignment vertical="center"/>
    </xf>
    <xf numFmtId="3" fontId="58" fillId="36" borderId="24" xfId="0" applyNumberFormat="1" applyFont="1" applyFill="1" applyBorder="1" applyAlignment="1">
      <alignment horizontal="center" vertical="center"/>
    </xf>
    <xf numFmtId="174" fontId="58" fillId="36" borderId="24" xfId="1041" applyNumberFormat="1" applyFont="1" applyFill="1" applyBorder="1" applyAlignment="1">
      <alignment vertical="center"/>
    </xf>
    <xf numFmtId="0" fontId="69" fillId="36" borderId="24" xfId="0" applyFont="1" applyFill="1" applyBorder="1" applyAlignment="1">
      <alignment horizontal="center" vertical="center"/>
    </xf>
    <xf numFmtId="4" fontId="58" fillId="0" borderId="0" xfId="0" applyNumberFormat="1" applyFont="1"/>
    <xf numFmtId="178" fontId="58" fillId="0" borderId="0" xfId="0" applyNumberFormat="1" applyFont="1"/>
    <xf numFmtId="165" fontId="70" fillId="0" borderId="24" xfId="0" applyNumberFormat="1" applyFont="1" applyBorder="1" applyAlignment="1">
      <alignment horizontal="center" vertical="center"/>
    </xf>
    <xf numFmtId="39" fontId="70" fillId="35" borderId="24" xfId="0" applyNumberFormat="1" applyFont="1" applyFill="1" applyBorder="1" applyAlignment="1">
      <alignment horizontal="center" vertical="center"/>
    </xf>
    <xf numFmtId="39" fontId="58" fillId="0" borderId="0" xfId="0" applyNumberFormat="1" applyFont="1"/>
    <xf numFmtId="43" fontId="58" fillId="0" borderId="0" xfId="0" applyNumberFormat="1" applyFont="1"/>
    <xf numFmtId="0" fontId="68" fillId="36" borderId="0" xfId="0" applyFont="1" applyFill="1" applyAlignment="1">
      <alignment vertical="center"/>
    </xf>
    <xf numFmtId="0" fontId="57" fillId="36" borderId="24" xfId="0" applyFont="1" applyFill="1" applyBorder="1" applyAlignment="1">
      <alignment vertical="center"/>
    </xf>
    <xf numFmtId="0" fontId="57" fillId="36" borderId="24" xfId="0" applyFont="1" applyFill="1" applyBorder="1" applyAlignment="1">
      <alignment horizontal="center" vertical="center"/>
    </xf>
    <xf numFmtId="169" fontId="57" fillId="36" borderId="24" xfId="0" applyNumberFormat="1" applyFont="1" applyFill="1" applyBorder="1" applyAlignment="1">
      <alignment horizontal="center" vertical="center"/>
    </xf>
    <xf numFmtId="0" fontId="57" fillId="36" borderId="24" xfId="0" applyFont="1" applyFill="1" applyBorder="1" applyAlignment="1">
      <alignment horizontal="center" vertical="center" wrapText="1"/>
    </xf>
    <xf numFmtId="4" fontId="58" fillId="36" borderId="24" xfId="0" applyNumberFormat="1" applyFont="1" applyFill="1" applyBorder="1" applyAlignment="1">
      <alignment vertical="center"/>
    </xf>
    <xf numFmtId="4" fontId="57" fillId="36" borderId="24" xfId="0" applyNumberFormat="1" applyFont="1" applyFill="1" applyBorder="1" applyAlignment="1">
      <alignment vertical="center"/>
    </xf>
    <xf numFmtId="0" fontId="58" fillId="36" borderId="0" xfId="415" applyFont="1" applyFill="1" applyAlignment="1">
      <alignment vertical="center"/>
    </xf>
    <xf numFmtId="2" fontId="69" fillId="36" borderId="0" xfId="0" applyNumberFormat="1" applyFont="1" applyFill="1" applyAlignment="1">
      <alignment horizontal="center" vertical="center" wrapText="1"/>
    </xf>
    <xf numFmtId="4" fontId="69" fillId="36" borderId="24" xfId="0" applyNumberFormat="1" applyFont="1" applyFill="1" applyBorder="1" applyAlignment="1">
      <alignment horizontal="center" vertical="center"/>
    </xf>
    <xf numFmtId="165" fontId="58" fillId="36" borderId="0" xfId="1041" applyFont="1" applyFill="1" applyAlignment="1">
      <alignment vertical="center"/>
    </xf>
    <xf numFmtId="10" fontId="57" fillId="36" borderId="48" xfId="0" applyNumberFormat="1" applyFont="1" applyFill="1" applyBorder="1" applyAlignment="1">
      <alignment horizontal="center" vertical="center" wrapText="1"/>
    </xf>
    <xf numFmtId="10" fontId="57" fillId="36" borderId="46" xfId="0" applyNumberFormat="1" applyFont="1" applyFill="1" applyBorder="1" applyAlignment="1">
      <alignment horizontal="center" vertical="center" wrapText="1"/>
    </xf>
    <xf numFmtId="168" fontId="57" fillId="36" borderId="59" xfId="0" quotePrefix="1" applyNumberFormat="1" applyFont="1" applyFill="1" applyBorder="1" applyAlignment="1">
      <alignment horizontal="center" vertical="center"/>
    </xf>
    <xf numFmtId="0" fontId="69" fillId="36" borderId="51" xfId="0" applyFont="1" applyFill="1" applyBorder="1" applyAlignment="1">
      <alignment horizontal="center" vertical="center"/>
    </xf>
    <xf numFmtId="0" fontId="58" fillId="36" borderId="24" xfId="0" applyFont="1" applyFill="1" applyBorder="1" applyAlignment="1">
      <alignment horizontal="center" vertical="center"/>
    </xf>
    <xf numFmtId="165" fontId="2" fillId="36" borderId="24" xfId="1041" applyFont="1" applyFill="1" applyBorder="1" applyAlignment="1">
      <alignment vertical="center"/>
    </xf>
    <xf numFmtId="165" fontId="2" fillId="36" borderId="35" xfId="1041" applyFont="1" applyFill="1" applyBorder="1" applyAlignment="1">
      <alignment horizontal="center" vertical="center"/>
    </xf>
    <xf numFmtId="165" fontId="2" fillId="36" borderId="24" xfId="1041" applyFont="1" applyFill="1" applyBorder="1" applyAlignment="1">
      <alignment horizontal="center" vertical="center"/>
    </xf>
    <xf numFmtId="171" fontId="2" fillId="36" borderId="24" xfId="1041" applyNumberFormat="1" applyFont="1" applyFill="1" applyBorder="1" applyAlignment="1">
      <alignment horizontal="center" vertical="center"/>
    </xf>
    <xf numFmtId="165" fontId="2" fillId="36" borderId="24" xfId="1041" quotePrefix="1" applyFont="1" applyFill="1" applyBorder="1" applyAlignment="1">
      <alignment horizontal="center" vertical="center"/>
    </xf>
    <xf numFmtId="165" fontId="2" fillId="36" borderId="24" xfId="1041" quotePrefix="1" applyFont="1" applyFill="1" applyBorder="1" applyAlignment="1">
      <alignment vertical="center"/>
    </xf>
    <xf numFmtId="165" fontId="2" fillId="36" borderId="24" xfId="1041" quotePrefix="1" applyFont="1" applyFill="1" applyBorder="1" applyAlignment="1">
      <alignment horizontal="right" vertical="center"/>
    </xf>
    <xf numFmtId="165" fontId="2" fillId="36" borderId="35" xfId="1041" quotePrefix="1" applyFont="1" applyFill="1" applyBorder="1" applyAlignment="1">
      <alignment horizontal="right" vertical="center"/>
    </xf>
    <xf numFmtId="165" fontId="3" fillId="36" borderId="37" xfId="1041" applyFont="1" applyFill="1" applyBorder="1" applyAlignment="1">
      <alignment vertical="center"/>
    </xf>
    <xf numFmtId="0" fontId="58" fillId="42" borderId="108" xfId="0" applyFont="1" applyFill="1" applyBorder="1" applyAlignment="1">
      <alignment vertical="top"/>
    </xf>
    <xf numFmtId="0" fontId="58" fillId="42" borderId="99" xfId="0" applyFont="1" applyFill="1" applyBorder="1" applyAlignment="1">
      <alignment vertical="top"/>
    </xf>
    <xf numFmtId="0" fontId="79" fillId="42" borderId="99" xfId="0" applyFont="1" applyFill="1" applyBorder="1" applyAlignment="1">
      <alignment horizontal="left" vertical="center" readingOrder="1"/>
    </xf>
    <xf numFmtId="0" fontId="58" fillId="42" borderId="112" xfId="0" applyFont="1" applyFill="1" applyBorder="1" applyAlignment="1">
      <alignment vertical="top"/>
    </xf>
    <xf numFmtId="0" fontId="58" fillId="42" borderId="0" xfId="0" applyFont="1" applyFill="1"/>
    <xf numFmtId="0" fontId="58" fillId="42" borderId="0" xfId="0" applyFont="1" applyFill="1" applyAlignment="1">
      <alignment wrapText="1" readingOrder="1"/>
    </xf>
    <xf numFmtId="0" fontId="58" fillId="42" borderId="110" xfId="0" applyFont="1" applyFill="1" applyBorder="1" applyAlignment="1">
      <alignment vertical="top"/>
    </xf>
    <xf numFmtId="165" fontId="58" fillId="36" borderId="0" xfId="1041" applyFont="1" applyFill="1"/>
    <xf numFmtId="10" fontId="58" fillId="36" borderId="0" xfId="1090" applyNumberFormat="1" applyFont="1" applyFill="1"/>
    <xf numFmtId="165" fontId="58" fillId="36" borderId="0" xfId="0" applyNumberFormat="1" applyFont="1" applyFill="1"/>
    <xf numFmtId="43" fontId="58" fillId="36" borderId="0" xfId="0" applyNumberFormat="1" applyFont="1" applyFill="1"/>
    <xf numFmtId="0" fontId="58" fillId="36" borderId="0" xfId="500" applyFont="1" applyFill="1"/>
    <xf numFmtId="0" fontId="58" fillId="36" borderId="0" xfId="500" applyFont="1" applyFill="1" applyAlignment="1">
      <alignment horizontal="left"/>
    </xf>
    <xf numFmtId="0" fontId="57" fillId="36" borderId="0" xfId="500" applyFont="1" applyFill="1"/>
    <xf numFmtId="0" fontId="2" fillId="36" borderId="0" xfId="500" applyFill="1"/>
    <xf numFmtId="0" fontId="0" fillId="36" borderId="0" xfId="0" applyFill="1"/>
    <xf numFmtId="0" fontId="2" fillId="36" borderId="0" xfId="500" applyFill="1" applyAlignment="1">
      <alignment horizontal="left"/>
    </xf>
    <xf numFmtId="0" fontId="4" fillId="36" borderId="0" xfId="500" applyFont="1" applyFill="1"/>
    <xf numFmtId="17" fontId="2" fillId="36" borderId="0" xfId="500" applyNumberFormat="1" applyFill="1"/>
    <xf numFmtId="0" fontId="2" fillId="36" borderId="28" xfId="500" applyFill="1" applyBorder="1" applyAlignment="1">
      <alignment horizontal="center"/>
    </xf>
    <xf numFmtId="0" fontId="81" fillId="36" borderId="28" xfId="500" applyFont="1" applyFill="1" applyBorder="1" applyAlignment="1">
      <alignment horizontal="center"/>
    </xf>
    <xf numFmtId="0" fontId="2" fillId="36" borderId="42" xfId="500" applyFill="1" applyBorder="1" applyAlignment="1">
      <alignment horizontal="center"/>
    </xf>
    <xf numFmtId="0" fontId="2" fillId="36" borderId="43" xfId="500" applyFill="1" applyBorder="1" applyAlignment="1">
      <alignment horizontal="center"/>
    </xf>
    <xf numFmtId="0" fontId="4" fillId="36" borderId="28" xfId="500" applyFont="1" applyFill="1" applyBorder="1" applyAlignment="1">
      <alignment horizontal="center"/>
    </xf>
    <xf numFmtId="0" fontId="2" fillId="36" borderId="28" xfId="500" applyFill="1" applyBorder="1"/>
    <xf numFmtId="181" fontId="81" fillId="36" borderId="28" xfId="973" applyNumberFormat="1" applyFont="1" applyFill="1" applyBorder="1" applyAlignment="1" applyProtection="1"/>
    <xf numFmtId="181" fontId="2" fillId="36" borderId="42" xfId="973" applyNumberFormat="1" applyFill="1" applyBorder="1" applyAlignment="1" applyProtection="1"/>
    <xf numFmtId="181" fontId="2" fillId="36" borderId="43" xfId="973" applyNumberFormat="1" applyFill="1" applyBorder="1" applyAlignment="1" applyProtection="1"/>
    <xf numFmtId="182" fontId="2" fillId="36" borderId="28" xfId="973" applyNumberFormat="1" applyFill="1" applyBorder="1" applyAlignment="1" applyProtection="1"/>
    <xf numFmtId="181" fontId="2" fillId="36" borderId="0" xfId="973" applyNumberFormat="1" applyFill="1" applyBorder="1" applyAlignment="1" applyProtection="1"/>
    <xf numFmtId="183" fontId="2" fillId="36" borderId="0" xfId="973" applyNumberFormat="1" applyFill="1" applyBorder="1" applyAlignment="1" applyProtection="1"/>
    <xf numFmtId="182" fontId="2" fillId="36" borderId="0" xfId="973" applyNumberFormat="1" applyFill="1" applyBorder="1" applyAlignment="1" applyProtection="1"/>
    <xf numFmtId="0" fontId="3" fillId="36" borderId="49" xfId="500" applyFont="1" applyFill="1" applyBorder="1"/>
    <xf numFmtId="181" fontId="3" fillId="36" borderId="50" xfId="973" applyNumberFormat="1" applyFont="1" applyFill="1" applyBorder="1" applyAlignment="1" applyProtection="1"/>
    <xf numFmtId="182" fontId="3" fillId="36" borderId="27" xfId="973" applyNumberFormat="1" applyFont="1" applyFill="1" applyBorder="1" applyAlignment="1" applyProtection="1"/>
    <xf numFmtId="0" fontId="3" fillId="36" borderId="0" xfId="500" applyFont="1" applyFill="1"/>
    <xf numFmtId="181" fontId="3" fillId="36" borderId="0" xfId="973" applyNumberFormat="1" applyFont="1" applyFill="1" applyBorder="1" applyAlignment="1" applyProtection="1"/>
    <xf numFmtId="182" fontId="3" fillId="36" borderId="0" xfId="973" applyNumberFormat="1" applyFont="1" applyFill="1" applyBorder="1" applyAlignment="1" applyProtection="1"/>
    <xf numFmtId="167" fontId="3" fillId="36" borderId="27" xfId="291" applyFont="1" applyFill="1" applyBorder="1" applyAlignment="1" applyProtection="1"/>
    <xf numFmtId="0" fontId="2" fillId="42" borderId="98" xfId="0" applyFont="1" applyFill="1" applyBorder="1" applyAlignment="1">
      <alignment vertical="top"/>
    </xf>
    <xf numFmtId="0" fontId="2" fillId="42" borderId="112" xfId="0" applyFont="1" applyFill="1" applyBorder="1" applyAlignment="1">
      <alignment vertical="top"/>
    </xf>
    <xf numFmtId="2" fontId="69" fillId="36" borderId="26" xfId="0" applyNumberFormat="1" applyFont="1" applyFill="1" applyBorder="1" applyAlignment="1">
      <alignment horizontal="left" vertical="center"/>
    </xf>
    <xf numFmtId="2" fontId="58" fillId="36" borderId="27" xfId="0" applyNumberFormat="1" applyFont="1" applyFill="1" applyBorder="1" applyAlignment="1">
      <alignment vertical="center"/>
    </xf>
    <xf numFmtId="2" fontId="58" fillId="36" borderId="24" xfId="0" applyNumberFormat="1" applyFont="1" applyFill="1" applyBorder="1" applyAlignment="1">
      <alignment horizontal="center" vertical="center" wrapText="1"/>
    </xf>
    <xf numFmtId="2" fontId="58" fillId="36" borderId="24" xfId="0" applyNumberFormat="1" applyFont="1" applyFill="1" applyBorder="1" applyAlignment="1">
      <alignment horizontal="center" vertical="center"/>
    </xf>
    <xf numFmtId="2" fontId="58" fillId="36" borderId="24" xfId="0" applyNumberFormat="1" applyFont="1" applyFill="1" applyBorder="1" applyAlignment="1">
      <alignment vertical="center"/>
    </xf>
    <xf numFmtId="2" fontId="58" fillId="36" borderId="50" xfId="0" applyNumberFormat="1" applyFont="1" applyFill="1" applyBorder="1" applyAlignment="1">
      <alignment horizontal="center" vertical="center"/>
    </xf>
    <xf numFmtId="2" fontId="57" fillId="36" borderId="50" xfId="0" applyNumberFormat="1" applyFont="1" applyFill="1" applyBorder="1" applyAlignment="1">
      <alignment vertical="center"/>
    </xf>
    <xf numFmtId="2" fontId="58" fillId="36" borderId="0" xfId="0" applyNumberFormat="1" applyFont="1" applyFill="1" applyAlignment="1">
      <alignment vertical="center"/>
    </xf>
    <xf numFmtId="0" fontId="57" fillId="36" borderId="24" xfId="0" applyFont="1" applyFill="1" applyBorder="1" applyAlignment="1">
      <alignment vertical="center" wrapText="1"/>
    </xf>
    <xf numFmtId="4" fontId="57" fillId="36" borderId="21" xfId="0" applyNumberFormat="1" applyFont="1" applyFill="1" applyBorder="1" applyAlignment="1">
      <alignment horizontal="center" vertical="center"/>
    </xf>
    <xf numFmtId="0" fontId="84" fillId="42" borderId="100" xfId="0" applyFont="1" applyFill="1" applyBorder="1" applyAlignment="1">
      <alignment horizontal="center" vertical="center" readingOrder="1"/>
    </xf>
    <xf numFmtId="0" fontId="84" fillId="42" borderId="110" xfId="0" applyFont="1" applyFill="1" applyBorder="1" applyAlignment="1">
      <alignment horizontal="center" vertical="center" readingOrder="1"/>
    </xf>
    <xf numFmtId="0" fontId="84" fillId="42" borderId="109" xfId="0" applyFont="1" applyFill="1" applyBorder="1" applyAlignment="1">
      <alignment horizontal="center" vertical="center" readingOrder="1"/>
    </xf>
    <xf numFmtId="0" fontId="84" fillId="42" borderId="93" xfId="0" applyFont="1" applyFill="1" applyBorder="1" applyAlignment="1">
      <alignment horizontal="center" vertical="center" readingOrder="1"/>
    </xf>
    <xf numFmtId="0" fontId="80" fillId="42" borderId="109" xfId="0" applyFont="1" applyFill="1" applyBorder="1" applyAlignment="1">
      <alignment horizontal="center" vertical="center" readingOrder="1"/>
    </xf>
    <xf numFmtId="0" fontId="80" fillId="42" borderId="110" xfId="0" applyFont="1" applyFill="1" applyBorder="1" applyAlignment="1">
      <alignment horizontal="center" vertical="center" readingOrder="1"/>
    </xf>
    <xf numFmtId="0" fontId="80" fillId="42" borderId="100" xfId="0" applyFont="1" applyFill="1" applyBorder="1" applyAlignment="1">
      <alignment horizontal="center" vertical="center" readingOrder="1"/>
    </xf>
    <xf numFmtId="0" fontId="57" fillId="36" borderId="49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42" borderId="108" xfId="0" applyFont="1" applyFill="1" applyBorder="1" applyAlignment="1">
      <alignment vertical="top"/>
    </xf>
    <xf numFmtId="0" fontId="2" fillId="42" borderId="99" xfId="0" applyFont="1" applyFill="1" applyBorder="1" applyAlignment="1">
      <alignment vertical="top"/>
    </xf>
    <xf numFmtId="0" fontId="83" fillId="42" borderId="99" xfId="0" applyFont="1" applyFill="1" applyBorder="1" applyAlignment="1">
      <alignment horizontal="left" vertical="center" readingOrder="1"/>
    </xf>
    <xf numFmtId="0" fontId="2" fillId="42" borderId="100" xfId="0" applyFont="1" applyFill="1" applyBorder="1" applyAlignment="1">
      <alignment vertical="top"/>
    </xf>
    <xf numFmtId="0" fontId="2" fillId="42" borderId="0" xfId="0" applyFont="1" applyFill="1"/>
    <xf numFmtId="0" fontId="2" fillId="42" borderId="0" xfId="0" applyFont="1" applyFill="1" applyAlignment="1">
      <alignment wrapText="1" readingOrder="1"/>
    </xf>
    <xf numFmtId="0" fontId="2" fillId="42" borderId="110" xfId="0" applyFont="1" applyFill="1" applyBorder="1" applyAlignment="1">
      <alignment vertical="top"/>
    </xf>
    <xf numFmtId="0" fontId="2" fillId="42" borderId="99" xfId="0" applyFont="1" applyFill="1" applyBorder="1" applyAlignment="1">
      <alignment vertical="top" wrapText="1" readingOrder="1"/>
    </xf>
    <xf numFmtId="0" fontId="73" fillId="36" borderId="75" xfId="0" applyFont="1" applyFill="1" applyBorder="1" applyAlignment="1">
      <alignment horizontal="left" vertical="center"/>
    </xf>
    <xf numFmtId="3" fontId="92" fillId="36" borderId="58" xfId="0" applyNumberFormat="1" applyFont="1" applyFill="1" applyBorder="1" applyAlignment="1">
      <alignment horizontal="left" vertical="center" wrapText="1"/>
    </xf>
    <xf numFmtId="3" fontId="92" fillId="36" borderId="44" xfId="0" applyNumberFormat="1" applyFont="1" applyFill="1" applyBorder="1" applyAlignment="1">
      <alignment horizontal="center" vertical="center"/>
    </xf>
    <xf numFmtId="169" fontId="92" fillId="36" borderId="46" xfId="0" applyNumberFormat="1" applyFont="1" applyFill="1" applyBorder="1" applyAlignment="1">
      <alignment horizontal="right" vertical="center"/>
    </xf>
    <xf numFmtId="179" fontId="92" fillId="36" borderId="22" xfId="1041" applyNumberFormat="1" applyFont="1" applyFill="1" applyBorder="1" applyAlignment="1">
      <alignment horizontal="right" vertical="center"/>
    </xf>
    <xf numFmtId="165" fontId="92" fillId="36" borderId="22" xfId="1041" applyFont="1" applyFill="1" applyBorder="1" applyAlignment="1">
      <alignment horizontal="right" vertical="center"/>
    </xf>
    <xf numFmtId="169" fontId="92" fillId="36" borderId="22" xfId="359" applyNumberFormat="1" applyFont="1" applyFill="1" applyBorder="1" applyAlignment="1">
      <alignment horizontal="right" vertical="center"/>
    </xf>
    <xf numFmtId="169" fontId="92" fillId="36" borderId="22" xfId="0" applyNumberFormat="1" applyFont="1" applyFill="1" applyBorder="1" applyAlignment="1">
      <alignment horizontal="right" vertical="center"/>
    </xf>
    <xf numFmtId="169" fontId="92" fillId="36" borderId="24" xfId="0" applyNumberFormat="1" applyFont="1" applyFill="1" applyBorder="1" applyAlignment="1">
      <alignment horizontal="right" vertical="center"/>
    </xf>
    <xf numFmtId="169" fontId="92" fillId="36" borderId="35" xfId="0" applyNumberFormat="1" applyFont="1" applyFill="1" applyBorder="1" applyAlignment="1">
      <alignment horizontal="right" vertical="center"/>
    </xf>
    <xf numFmtId="3" fontId="92" fillId="36" borderId="34" xfId="0" applyNumberFormat="1" applyFont="1" applyFill="1" applyBorder="1" applyAlignment="1">
      <alignment horizontal="left" vertical="center" wrapText="1"/>
    </xf>
    <xf numFmtId="3" fontId="92" fillId="36" borderId="47" xfId="0" applyNumberFormat="1" applyFont="1" applyFill="1" applyBorder="1" applyAlignment="1">
      <alignment horizontal="center" vertical="center"/>
    </xf>
    <xf numFmtId="179" fontId="92" fillId="36" borderId="24" xfId="1041" applyNumberFormat="1" applyFont="1" applyFill="1" applyBorder="1" applyAlignment="1">
      <alignment horizontal="right" vertical="center"/>
    </xf>
    <xf numFmtId="165" fontId="92" fillId="36" borderId="24" xfId="1041" applyFont="1" applyFill="1" applyBorder="1" applyAlignment="1">
      <alignment horizontal="right" vertical="center"/>
    </xf>
    <xf numFmtId="3" fontId="92" fillId="36" borderId="51" xfId="0" applyNumberFormat="1" applyFont="1" applyFill="1" applyBorder="1" applyAlignment="1">
      <alignment horizontal="right" vertical="center"/>
    </xf>
    <xf numFmtId="169" fontId="92" fillId="36" borderId="52" xfId="0" applyNumberFormat="1" applyFont="1" applyFill="1" applyBorder="1" applyAlignment="1">
      <alignment horizontal="center" vertical="center"/>
    </xf>
    <xf numFmtId="169" fontId="93" fillId="36" borderId="24" xfId="359" applyNumberFormat="1" applyFont="1" applyFill="1" applyBorder="1" applyAlignment="1">
      <alignment horizontal="right" vertical="center"/>
    </xf>
    <xf numFmtId="3" fontId="92" fillId="36" borderId="49" xfId="0" applyNumberFormat="1" applyFont="1" applyFill="1" applyBorder="1" applyAlignment="1">
      <alignment horizontal="right" vertical="center"/>
    </xf>
    <xf numFmtId="3" fontId="92" fillId="36" borderId="50" xfId="0" quotePrefix="1" applyNumberFormat="1" applyFont="1" applyFill="1" applyBorder="1" applyAlignment="1">
      <alignment horizontal="center" vertical="center"/>
    </xf>
    <xf numFmtId="169" fontId="92" fillId="36" borderId="27" xfId="0" applyNumberFormat="1" applyFont="1" applyFill="1" applyBorder="1" applyAlignment="1">
      <alignment horizontal="center" vertical="center"/>
    </xf>
    <xf numFmtId="3" fontId="69" fillId="36" borderId="53" xfId="0" applyNumberFormat="1" applyFont="1" applyFill="1" applyBorder="1" applyAlignment="1">
      <alignment horizontal="left" vertical="center"/>
    </xf>
    <xf numFmtId="3" fontId="92" fillId="36" borderId="54" xfId="0" applyNumberFormat="1" applyFont="1" applyFill="1" applyBorder="1" applyAlignment="1">
      <alignment horizontal="center" vertical="center"/>
    </xf>
    <xf numFmtId="3" fontId="92" fillId="36" borderId="55" xfId="0" quotePrefix="1" applyNumberFormat="1" applyFont="1" applyFill="1" applyBorder="1" applyAlignment="1">
      <alignment horizontal="center" vertical="center"/>
    </xf>
    <xf numFmtId="169" fontId="92" fillId="36" borderId="56" xfId="0" applyNumberFormat="1" applyFont="1" applyFill="1" applyBorder="1" applyAlignment="1">
      <alignment horizontal="center" vertical="center"/>
    </xf>
    <xf numFmtId="3" fontId="92" fillId="36" borderId="55" xfId="0" applyNumberFormat="1" applyFont="1" applyFill="1" applyBorder="1" applyAlignment="1">
      <alignment horizontal="center" vertical="center"/>
    </xf>
    <xf numFmtId="169" fontId="69" fillId="36" borderId="57" xfId="1041" applyNumberFormat="1" applyFont="1" applyFill="1" applyBorder="1" applyAlignment="1">
      <alignment horizontal="right" vertical="center"/>
    </xf>
    <xf numFmtId="165" fontId="69" fillId="36" borderId="57" xfId="1041" applyFont="1" applyFill="1" applyBorder="1" applyAlignment="1">
      <alignment horizontal="right" vertical="center"/>
    </xf>
    <xf numFmtId="165" fontId="2" fillId="0" borderId="24" xfId="1041" quotePrefix="1" applyFont="1" applyFill="1" applyBorder="1" applyAlignment="1">
      <alignment horizontal="center" vertical="center"/>
    </xf>
    <xf numFmtId="171" fontId="3" fillId="0" borderId="24" xfId="1041" applyNumberFormat="1" applyFont="1" applyFill="1" applyBorder="1" applyAlignment="1">
      <alignment vertical="center"/>
    </xf>
    <xf numFmtId="165" fontId="2" fillId="0" borderId="35" xfId="1041" quotePrefix="1" applyFont="1" applyFill="1" applyBorder="1" applyAlignment="1">
      <alignment horizontal="center" vertical="center"/>
    </xf>
    <xf numFmtId="165" fontId="2" fillId="0" borderId="37" xfId="1041" applyFont="1" applyFill="1" applyBorder="1" applyAlignment="1">
      <alignment vertical="center"/>
    </xf>
    <xf numFmtId="165" fontId="2" fillId="0" borderId="37" xfId="1041" applyFont="1" applyFill="1" applyBorder="1" applyAlignment="1">
      <alignment horizontal="left" vertical="center"/>
    </xf>
    <xf numFmtId="165" fontId="2" fillId="0" borderId="37" xfId="1041" applyFont="1" applyFill="1" applyBorder="1" applyAlignment="1">
      <alignment horizontal="right" vertical="center"/>
    </xf>
    <xf numFmtId="165" fontId="3" fillId="0" borderId="38" xfId="1041" applyFont="1" applyBorder="1" applyAlignment="1">
      <alignment horizontal="right" vertical="center"/>
    </xf>
    <xf numFmtId="0" fontId="0" fillId="36" borderId="0" xfId="0" applyFill="1" applyAlignment="1">
      <alignment vertical="center"/>
    </xf>
    <xf numFmtId="10" fontId="58" fillId="36" borderId="0" xfId="1090" applyNumberFormat="1" applyFont="1" applyFill="1" applyBorder="1" applyAlignment="1">
      <alignment vertical="center"/>
    </xf>
    <xf numFmtId="3" fontId="92" fillId="36" borderId="115" xfId="0" applyNumberFormat="1" applyFont="1" applyFill="1" applyBorder="1" applyAlignment="1">
      <alignment horizontal="right" vertical="center"/>
    </xf>
    <xf numFmtId="3" fontId="92" fillId="36" borderId="45" xfId="0" quotePrefix="1" applyNumberFormat="1" applyFont="1" applyFill="1" applyBorder="1" applyAlignment="1">
      <alignment horizontal="center" vertical="center"/>
    </xf>
    <xf numFmtId="169" fontId="92" fillId="36" borderId="80" xfId="0" applyNumberFormat="1" applyFont="1" applyFill="1" applyBorder="1" applyAlignment="1">
      <alignment horizontal="center" vertical="center"/>
    </xf>
    <xf numFmtId="3" fontId="92" fillId="36" borderId="115" xfId="0" applyNumberFormat="1" applyFont="1" applyFill="1" applyBorder="1" applyAlignment="1">
      <alignment horizontal="center" vertical="center"/>
    </xf>
    <xf numFmtId="3" fontId="92" fillId="36" borderId="45" xfId="0" applyNumberFormat="1" applyFont="1" applyFill="1" applyBorder="1" applyAlignment="1">
      <alignment horizontal="center" vertical="center"/>
    </xf>
    <xf numFmtId="169" fontId="92" fillId="36" borderId="80" xfId="0" applyNumberFormat="1" applyFont="1" applyFill="1" applyBorder="1" applyAlignment="1">
      <alignment horizontal="right" vertical="center"/>
    </xf>
    <xf numFmtId="165" fontId="0" fillId="36" borderId="0" xfId="0" applyNumberFormat="1" applyFill="1" applyAlignment="1">
      <alignment vertical="center"/>
    </xf>
    <xf numFmtId="0" fontId="59" fillId="36" borderId="59" xfId="0" applyFont="1" applyFill="1" applyBorder="1" applyAlignment="1">
      <alignment horizontal="left" vertical="center"/>
    </xf>
    <xf numFmtId="165" fontId="3" fillId="0" borderId="24" xfId="1041" applyFont="1" applyBorder="1" applyAlignment="1">
      <alignment horizontal="center" vertical="center" wrapText="1"/>
    </xf>
    <xf numFmtId="0" fontId="92" fillId="36" borderId="21" xfId="0" applyFont="1" applyFill="1" applyBorder="1" applyAlignment="1">
      <alignment horizontal="center" vertical="center" wrapText="1"/>
    </xf>
    <xf numFmtId="165" fontId="3" fillId="0" borderId="67" xfId="1041" applyFont="1" applyBorder="1" applyAlignment="1">
      <alignment horizontal="center" vertical="center" wrapText="1"/>
    </xf>
    <xf numFmtId="0" fontId="3" fillId="0" borderId="0" xfId="0" applyFont="1"/>
    <xf numFmtId="0" fontId="2" fillId="36" borderId="34" xfId="499" applyFill="1" applyBorder="1" applyAlignment="1">
      <alignment vertical="center"/>
    </xf>
    <xf numFmtId="0" fontId="2" fillId="36" borderId="34" xfId="499" quotePrefix="1" applyFill="1" applyBorder="1" applyAlignment="1">
      <alignment vertical="center"/>
    </xf>
    <xf numFmtId="0" fontId="3" fillId="0" borderId="34" xfId="499" applyFont="1" applyBorder="1" applyAlignment="1">
      <alignment vertical="center"/>
    </xf>
    <xf numFmtId="0" fontId="3" fillId="0" borderId="36" xfId="499" applyFont="1" applyBorder="1" applyAlignment="1">
      <alignment vertical="center"/>
    </xf>
    <xf numFmtId="0" fontId="3" fillId="36" borderId="34" xfId="499" applyFont="1" applyFill="1" applyBorder="1" applyAlignment="1">
      <alignment horizontal="left" vertical="center"/>
    </xf>
    <xf numFmtId="0" fontId="3" fillId="36" borderId="36" xfId="0" applyFont="1" applyFill="1" applyBorder="1" applyAlignment="1">
      <alignment vertical="center"/>
    </xf>
    <xf numFmtId="0" fontId="97" fillId="36" borderId="0" xfId="1091" applyFont="1" applyFill="1" applyAlignment="1">
      <alignment horizontal="center" vertical="top"/>
    </xf>
    <xf numFmtId="0" fontId="95" fillId="0" borderId="0" xfId="1091"/>
    <xf numFmtId="187" fontId="96" fillId="36" borderId="0" xfId="1091" applyNumberFormat="1" applyFont="1" applyFill="1" applyAlignment="1">
      <alignment horizontal="center" vertical="center"/>
    </xf>
    <xf numFmtId="0" fontId="97" fillId="36" borderId="24" xfId="1091" applyFont="1" applyFill="1" applyBorder="1" applyAlignment="1">
      <alignment horizontal="center" vertical="center" wrapText="1"/>
    </xf>
    <xf numFmtId="0" fontId="98" fillId="36" borderId="0" xfId="1091" applyFont="1" applyFill="1" applyAlignment="1">
      <alignment horizontal="center" vertical="center" wrapText="1"/>
    </xf>
    <xf numFmtId="0" fontId="95" fillId="0" borderId="0" xfId="1091" applyAlignment="1">
      <alignment horizontal="center"/>
    </xf>
    <xf numFmtId="0" fontId="97" fillId="0" borderId="24" xfId="1091" applyFont="1" applyBorder="1" applyAlignment="1">
      <alignment horizontal="center"/>
    </xf>
    <xf numFmtId="0" fontId="97" fillId="0" borderId="35" xfId="1091" applyFont="1" applyBorder="1" applyAlignment="1">
      <alignment horizontal="center" vertical="center"/>
    </xf>
    <xf numFmtId="188" fontId="97" fillId="0" borderId="34" xfId="1091" applyNumberFormat="1" applyFont="1" applyBorder="1" applyAlignment="1">
      <alignment horizontal="center" vertical="center"/>
    </xf>
    <xf numFmtId="189" fontId="97" fillId="0" borderId="24" xfId="1091" applyNumberFormat="1" applyFont="1" applyBorder="1" applyAlignment="1">
      <alignment horizontal="center" vertical="center"/>
    </xf>
    <xf numFmtId="190" fontId="97" fillId="0" borderId="24" xfId="1091" applyNumberFormat="1" applyFont="1" applyBorder="1" applyAlignment="1">
      <alignment horizontal="center" vertical="center"/>
    </xf>
    <xf numFmtId="2" fontId="97" fillId="0" borderId="24" xfId="1091" applyNumberFormat="1" applyFont="1" applyBorder="1" applyAlignment="1">
      <alignment horizontal="center" vertical="center"/>
    </xf>
    <xf numFmtId="170" fontId="97" fillId="0" borderId="24" xfId="1091" applyNumberFormat="1" applyFont="1" applyBorder="1" applyAlignment="1">
      <alignment horizontal="center" vertical="center"/>
    </xf>
    <xf numFmtId="191" fontId="97" fillId="0" borderId="24" xfId="1091" applyNumberFormat="1" applyFont="1" applyBorder="1" applyAlignment="1">
      <alignment horizontal="center" vertical="center"/>
    </xf>
    <xf numFmtId="170" fontId="97" fillId="0" borderId="24" xfId="1091" applyNumberFormat="1" applyFont="1" applyBorder="1" applyAlignment="1">
      <alignment horizontal="right" vertical="center"/>
    </xf>
    <xf numFmtId="169" fontId="97" fillId="0" borderId="24" xfId="1091" applyNumberFormat="1" applyFont="1" applyBorder="1" applyAlignment="1">
      <alignment horizontal="center" vertical="center"/>
    </xf>
    <xf numFmtId="170" fontId="98" fillId="0" borderId="0" xfId="1091" applyNumberFormat="1" applyFont="1" applyAlignment="1">
      <alignment horizontal="right" vertical="center"/>
    </xf>
    <xf numFmtId="170" fontId="95" fillId="0" borderId="0" xfId="1091" applyNumberFormat="1"/>
    <xf numFmtId="2" fontId="95" fillId="0" borderId="0" xfId="1091" applyNumberFormat="1"/>
    <xf numFmtId="188" fontId="99" fillId="0" borderId="0" xfId="1091" applyNumberFormat="1" applyFont="1" applyAlignment="1">
      <alignment horizontal="center" vertical="center"/>
    </xf>
    <xf numFmtId="0" fontId="95" fillId="0" borderId="117" xfId="1091" applyBorder="1"/>
    <xf numFmtId="189" fontId="2" fillId="36" borderId="32" xfId="1091" applyNumberFormat="1" applyFont="1" applyFill="1" applyBorder="1" applyAlignment="1">
      <alignment vertical="center"/>
    </xf>
    <xf numFmtId="2" fontId="2" fillId="36" borderId="32" xfId="1091" applyNumberFormat="1" applyFont="1" applyFill="1" applyBorder="1" applyAlignment="1">
      <alignment horizontal="center" vertical="center"/>
    </xf>
    <xf numFmtId="2" fontId="2" fillId="36" borderId="32" xfId="1091" applyNumberFormat="1" applyFont="1" applyFill="1" applyBorder="1" applyAlignment="1">
      <alignment horizontal="left" vertical="center"/>
    </xf>
    <xf numFmtId="0" fontId="97" fillId="36" borderId="118" xfId="1091" applyFont="1" applyFill="1" applyBorder="1" applyAlignment="1">
      <alignment vertical="center" wrapText="1"/>
    </xf>
    <xf numFmtId="0" fontId="97" fillId="0" borderId="32" xfId="1091" applyFont="1" applyBorder="1" applyAlignment="1">
      <alignment horizontal="center"/>
    </xf>
    <xf numFmtId="0" fontId="97" fillId="0" borderId="33" xfId="1091" applyFont="1" applyBorder="1" applyAlignment="1">
      <alignment vertical="center" wrapText="1"/>
    </xf>
    <xf numFmtId="169" fontId="86" fillId="0" borderId="0" xfId="1091" applyNumberFormat="1" applyFont="1" applyAlignment="1">
      <alignment horizontal="center" vertical="center"/>
    </xf>
    <xf numFmtId="189" fontId="2" fillId="36" borderId="76" xfId="1091" applyNumberFormat="1" applyFont="1" applyFill="1" applyBorder="1" applyAlignment="1">
      <alignment vertical="center"/>
    </xf>
    <xf numFmtId="2" fontId="2" fillId="36" borderId="51" xfId="1091" applyNumberFormat="1" applyFont="1" applyFill="1" applyBorder="1" applyAlignment="1">
      <alignment vertical="center"/>
    </xf>
    <xf numFmtId="189" fontId="2" fillId="36" borderId="52" xfId="1091" applyNumberFormat="1" applyFont="1" applyFill="1" applyBorder="1" applyAlignment="1">
      <alignment vertical="center"/>
    </xf>
    <xf numFmtId="0" fontId="97" fillId="36" borderId="59" xfId="1091" applyFont="1" applyFill="1" applyBorder="1" applyAlignment="1">
      <alignment horizontal="center" vertical="center" wrapText="1"/>
    </xf>
    <xf numFmtId="0" fontId="97" fillId="0" borderId="29" xfId="1091" applyFont="1" applyBorder="1" applyAlignment="1">
      <alignment horizontal="center" vertical="center"/>
    </xf>
    <xf numFmtId="189" fontId="2" fillId="36" borderId="47" xfId="1091" applyNumberFormat="1" applyFont="1" applyFill="1" applyBorder="1" applyAlignment="1">
      <alignment vertical="center"/>
    </xf>
    <xf numFmtId="2" fontId="2" fillId="36" borderId="47" xfId="1091" applyNumberFormat="1" applyFont="1" applyFill="1" applyBorder="1" applyAlignment="1">
      <alignment horizontal="center" vertical="center"/>
    </xf>
    <xf numFmtId="2" fontId="2" fillId="36" borderId="47" xfId="1091" applyNumberFormat="1" applyFont="1" applyFill="1" applyBorder="1" applyAlignment="1">
      <alignment horizontal="left" vertical="center"/>
    </xf>
    <xf numFmtId="170" fontId="97" fillId="36" borderId="29" xfId="1091" applyNumberFormat="1" applyFont="1" applyFill="1" applyBorder="1" applyAlignment="1">
      <alignment vertical="center" wrapText="1"/>
    </xf>
    <xf numFmtId="189" fontId="2" fillId="36" borderId="40" xfId="1091" applyNumberFormat="1" applyFont="1" applyFill="1" applyBorder="1" applyAlignment="1">
      <alignment horizontal="right" vertical="center"/>
    </xf>
    <xf numFmtId="189" fontId="2" fillId="36" borderId="74" xfId="1091" applyNumberFormat="1" applyFont="1" applyFill="1" applyBorder="1" applyAlignment="1">
      <alignment horizontal="right" vertical="center"/>
    </xf>
    <xf numFmtId="189" fontId="2" fillId="36" borderId="47" xfId="1091" applyNumberFormat="1" applyFont="1" applyFill="1" applyBorder="1" applyAlignment="1">
      <alignment horizontal="center" vertical="center"/>
    </xf>
    <xf numFmtId="2" fontId="2" fillId="36" borderId="47" xfId="1091" applyNumberFormat="1" applyFont="1" applyFill="1" applyBorder="1" applyAlignment="1">
      <alignment vertical="center"/>
    </xf>
    <xf numFmtId="2" fontId="2" fillId="36" borderId="47" xfId="1091" applyNumberFormat="1" applyFont="1" applyFill="1" applyBorder="1" applyAlignment="1">
      <alignment horizontal="center" vertical="center" wrapText="1"/>
    </xf>
    <xf numFmtId="170" fontId="2" fillId="36" borderId="47" xfId="1091" applyNumberFormat="1" applyFont="1" applyFill="1" applyBorder="1" applyAlignment="1">
      <alignment horizontal="center" vertical="center"/>
    </xf>
    <xf numFmtId="170" fontId="97" fillId="36" borderId="47" xfId="1091" applyNumberFormat="1" applyFont="1" applyFill="1" applyBorder="1" applyAlignment="1">
      <alignment vertical="center" wrapText="1"/>
    </xf>
    <xf numFmtId="170" fontId="97" fillId="36" borderId="66" xfId="1091" applyNumberFormat="1" applyFont="1" applyFill="1" applyBorder="1" applyAlignment="1">
      <alignment vertical="center" wrapText="1"/>
    </xf>
    <xf numFmtId="0" fontId="98" fillId="36" borderId="40" xfId="1091" applyFont="1" applyFill="1" applyBorder="1" applyAlignment="1">
      <alignment horizontal="right"/>
    </xf>
    <xf numFmtId="0" fontId="97" fillId="0" borderId="0" xfId="1091" applyFont="1"/>
    <xf numFmtId="0" fontId="97" fillId="36" borderId="0" xfId="1091" applyFont="1" applyFill="1" applyAlignment="1">
      <alignment horizontal="center" vertical="center" wrapText="1"/>
    </xf>
    <xf numFmtId="0" fontId="97" fillId="36" borderId="29" xfId="1091" applyFont="1" applyFill="1" applyBorder="1" applyAlignment="1">
      <alignment horizontal="center" vertical="center" wrapText="1"/>
    </xf>
    <xf numFmtId="0" fontId="97" fillId="36" borderId="52" xfId="1091" applyFont="1" applyFill="1" applyBorder="1" applyAlignment="1">
      <alignment horizontal="right"/>
    </xf>
    <xf numFmtId="0" fontId="97" fillId="36" borderId="51" xfId="1091" applyFont="1" applyFill="1" applyBorder="1"/>
    <xf numFmtId="0" fontId="86" fillId="36" borderId="40" xfId="1091" applyFont="1" applyFill="1" applyBorder="1"/>
    <xf numFmtId="0" fontId="2" fillId="36" borderId="52" xfId="1091" applyFont="1" applyFill="1" applyBorder="1"/>
    <xf numFmtId="0" fontId="97" fillId="36" borderId="0" xfId="1091" applyFont="1" applyFill="1" applyAlignment="1">
      <alignment horizontal="center" vertical="center"/>
    </xf>
    <xf numFmtId="0" fontId="97" fillId="36" borderId="29" xfId="1091" applyFont="1" applyFill="1" applyBorder="1" applyAlignment="1">
      <alignment horizontal="center" vertical="center"/>
    </xf>
    <xf numFmtId="0" fontId="98" fillId="36" borderId="0" xfId="1091" applyFont="1" applyFill="1" applyAlignment="1">
      <alignment horizontal="center" vertical="center"/>
    </xf>
    <xf numFmtId="0" fontId="86" fillId="36" borderId="41" xfId="1091" applyFont="1" applyFill="1" applyBorder="1"/>
    <xf numFmtId="0" fontId="2" fillId="36" borderId="30" xfId="1091" applyFont="1" applyFill="1" applyBorder="1"/>
    <xf numFmtId="0" fontId="2" fillId="36" borderId="121" xfId="1091" applyFont="1" applyFill="1" applyBorder="1"/>
    <xf numFmtId="0" fontId="97" fillId="36" borderId="114" xfId="1091" applyFont="1" applyFill="1" applyBorder="1"/>
    <xf numFmtId="0" fontId="97" fillId="36" borderId="30" xfId="1091" applyFont="1" applyFill="1" applyBorder="1"/>
    <xf numFmtId="0" fontId="95" fillId="0" borderId="30" xfId="1091" applyBorder="1"/>
    <xf numFmtId="0" fontId="97" fillId="36" borderId="30" xfId="1091" applyFont="1" applyFill="1" applyBorder="1" applyAlignment="1">
      <alignment horizontal="center" vertical="center"/>
    </xf>
    <xf numFmtId="0" fontId="97" fillId="36" borderId="31" xfId="1091" applyFont="1" applyFill="1" applyBorder="1" applyAlignment="1">
      <alignment horizontal="center" vertical="center"/>
    </xf>
    <xf numFmtId="0" fontId="86" fillId="0" borderId="0" xfId="1091" applyFont="1"/>
    <xf numFmtId="0" fontId="2" fillId="0" borderId="0" xfId="1091" applyFont="1"/>
    <xf numFmtId="0" fontId="98" fillId="0" borderId="0" xfId="1091" applyFont="1"/>
    <xf numFmtId="10" fontId="97" fillId="0" borderId="24" xfId="1092" applyNumberFormat="1" applyFont="1" applyBorder="1" applyAlignment="1">
      <alignment horizontal="center" vertical="center"/>
    </xf>
    <xf numFmtId="170" fontId="95" fillId="0" borderId="0" xfId="1091" applyNumberFormat="1" applyAlignment="1">
      <alignment horizontal="center"/>
    </xf>
    <xf numFmtId="2" fontId="95" fillId="0" borderId="0" xfId="1091" applyNumberFormat="1" applyAlignment="1">
      <alignment horizontal="center"/>
    </xf>
    <xf numFmtId="170" fontId="97" fillId="0" borderId="35" xfId="1091" applyNumberFormat="1" applyFont="1" applyBorder="1" applyAlignment="1">
      <alignment horizontal="center" vertical="center"/>
    </xf>
    <xf numFmtId="189" fontId="2" fillId="36" borderId="0" xfId="1091" applyNumberFormat="1" applyFont="1" applyFill="1" applyAlignment="1">
      <alignment vertical="center"/>
    </xf>
    <xf numFmtId="2" fontId="2" fillId="0" borderId="0" xfId="1091" applyNumberFormat="1" applyFont="1" applyAlignment="1">
      <alignment horizontal="center" vertical="center"/>
    </xf>
    <xf numFmtId="2" fontId="2" fillId="36" borderId="0" xfId="1091" applyNumberFormat="1" applyFont="1" applyFill="1" applyAlignment="1">
      <alignment horizontal="left" vertical="center"/>
    </xf>
    <xf numFmtId="2" fontId="97" fillId="36" borderId="0" xfId="1091" applyNumberFormat="1" applyFont="1" applyFill="1" applyAlignment="1">
      <alignment horizontal="center" vertical="center"/>
    </xf>
    <xf numFmtId="0" fontId="97" fillId="0" borderId="0" xfId="1091" applyFont="1" applyAlignment="1">
      <alignment horizontal="center" vertical="center"/>
    </xf>
    <xf numFmtId="2" fontId="2" fillId="36" borderId="0" xfId="1091" applyNumberFormat="1" applyFont="1" applyFill="1" applyAlignment="1">
      <alignment horizontal="center" vertical="center"/>
    </xf>
    <xf numFmtId="170" fontId="97" fillId="36" borderId="0" xfId="1091" applyNumberFormat="1" applyFont="1" applyFill="1" applyAlignment="1">
      <alignment vertical="center" wrapText="1"/>
    </xf>
    <xf numFmtId="189" fontId="2" fillId="36" borderId="0" xfId="1091" applyNumberFormat="1" applyFont="1" applyFill="1" applyAlignment="1">
      <alignment horizontal="center" vertical="center"/>
    </xf>
    <xf numFmtId="2" fontId="2" fillId="36" borderId="0" xfId="1091" applyNumberFormat="1" applyFont="1" applyFill="1" applyAlignment="1">
      <alignment vertical="center"/>
    </xf>
    <xf numFmtId="2" fontId="2" fillId="36" borderId="0" xfId="1091" applyNumberFormat="1" applyFont="1" applyFill="1" applyAlignment="1">
      <alignment horizontal="center" vertical="center" wrapText="1"/>
    </xf>
    <xf numFmtId="170" fontId="2" fillId="36" borderId="0" xfId="1091" applyNumberFormat="1" applyFont="1" applyFill="1" applyAlignment="1">
      <alignment horizontal="center" vertical="center"/>
    </xf>
    <xf numFmtId="0" fontId="97" fillId="36" borderId="0" xfId="1091" applyFont="1" applyFill="1" applyAlignment="1">
      <alignment horizontal="right"/>
    </xf>
    <xf numFmtId="0" fontId="97" fillId="36" borderId="0" xfId="1091" applyFont="1" applyFill="1"/>
    <xf numFmtId="0" fontId="2" fillId="36" borderId="0" xfId="1091" applyFont="1" applyFill="1"/>
    <xf numFmtId="0" fontId="95" fillId="0" borderId="119" xfId="1091" applyBorder="1"/>
    <xf numFmtId="0" fontId="95" fillId="0" borderId="125" xfId="1091" applyBorder="1"/>
    <xf numFmtId="0" fontId="95" fillId="0" borderId="32" xfId="1091" applyBorder="1"/>
    <xf numFmtId="2" fontId="2" fillId="36" borderId="125" xfId="1091" applyNumberFormat="1" applyFont="1" applyFill="1" applyBorder="1" applyAlignment="1">
      <alignment horizontal="left" vertical="center"/>
    </xf>
    <xf numFmtId="189" fontId="2" fillId="36" borderId="113" xfId="1091" applyNumberFormat="1" applyFont="1" applyFill="1" applyBorder="1" applyAlignment="1">
      <alignment horizontal="right" vertical="center"/>
    </xf>
    <xf numFmtId="2" fontId="2" fillId="36" borderId="114" xfId="1091" applyNumberFormat="1" applyFont="1" applyFill="1" applyBorder="1" applyAlignment="1">
      <alignment vertical="center"/>
    </xf>
    <xf numFmtId="189" fontId="2" fillId="36" borderId="30" xfId="1091" applyNumberFormat="1" applyFont="1" applyFill="1" applyBorder="1" applyAlignment="1">
      <alignment vertical="center"/>
    </xf>
    <xf numFmtId="189" fontId="2" fillId="36" borderId="121" xfId="1091" applyNumberFormat="1" applyFont="1" applyFill="1" applyBorder="1" applyAlignment="1">
      <alignment vertical="center"/>
    </xf>
    <xf numFmtId="2" fontId="2" fillId="36" borderId="30" xfId="1091" applyNumberFormat="1" applyFont="1" applyFill="1" applyBorder="1" applyAlignment="1">
      <alignment horizontal="center" vertical="center"/>
    </xf>
    <xf numFmtId="2" fontId="2" fillId="36" borderId="30" xfId="1091" applyNumberFormat="1" applyFont="1" applyFill="1" applyBorder="1" applyAlignment="1">
      <alignment horizontal="left" vertical="center"/>
    </xf>
    <xf numFmtId="170" fontId="97" fillId="36" borderId="69" xfId="1091" applyNumberFormat="1" applyFont="1" applyFill="1" applyBorder="1" applyAlignment="1">
      <alignment vertical="center" wrapText="1"/>
    </xf>
    <xf numFmtId="170" fontId="97" fillId="36" borderId="30" xfId="1091" applyNumberFormat="1" applyFont="1" applyFill="1" applyBorder="1" applyAlignment="1">
      <alignment horizontal="center" vertical="center" wrapText="1"/>
    </xf>
    <xf numFmtId="170" fontId="97" fillId="36" borderId="31" xfId="1091" applyNumberFormat="1" applyFont="1" applyFill="1" applyBorder="1" applyAlignment="1">
      <alignment horizontal="center" vertical="center" wrapText="1"/>
    </xf>
    <xf numFmtId="185" fontId="2" fillId="0" borderId="24" xfId="1041" applyNumberFormat="1" applyFont="1" applyFill="1" applyBorder="1" applyAlignment="1">
      <alignment horizontal="right" vertical="center"/>
    </xf>
    <xf numFmtId="186" fontId="2" fillId="0" borderId="24" xfId="1041" quotePrefix="1" applyNumberFormat="1" applyFont="1" applyFill="1" applyBorder="1" applyAlignment="1">
      <alignment horizontal="center" vertical="center"/>
    </xf>
    <xf numFmtId="171" fontId="2" fillId="0" borderId="24" xfId="1041" quotePrefix="1" applyNumberFormat="1" applyFont="1" applyFill="1" applyBorder="1" applyAlignment="1">
      <alignment horizontal="left" vertical="center"/>
    </xf>
    <xf numFmtId="165" fontId="3" fillId="0" borderId="24" xfId="1041" applyFont="1" applyFill="1" applyBorder="1" applyAlignment="1">
      <alignment vertical="center"/>
    </xf>
    <xf numFmtId="171" fontId="3" fillId="0" borderId="49" xfId="1041" applyNumberFormat="1" applyFont="1" applyFill="1" applyBorder="1" applyAlignment="1">
      <alignment horizontal="center" vertical="center"/>
    </xf>
    <xf numFmtId="165" fontId="3" fillId="0" borderId="35" xfId="1041" applyFont="1" applyFill="1" applyBorder="1" applyAlignment="1">
      <alignment horizontal="center" vertical="center"/>
    </xf>
    <xf numFmtId="165" fontId="3" fillId="0" borderId="24" xfId="1041" applyFont="1" applyFill="1" applyBorder="1" applyAlignment="1">
      <alignment horizontal="center" vertical="center"/>
    </xf>
    <xf numFmtId="169" fontId="3" fillId="0" borderId="49" xfId="499" applyNumberFormat="1" applyFont="1" applyBorder="1" applyAlignment="1">
      <alignment horizontal="right" vertical="center"/>
    </xf>
    <xf numFmtId="175" fontId="3" fillId="0" borderId="49" xfId="499" applyNumberFormat="1" applyFont="1" applyBorder="1" applyAlignment="1">
      <alignment horizontal="center" vertical="center"/>
    </xf>
    <xf numFmtId="4" fontId="3" fillId="0" borderId="49" xfId="499" applyNumberFormat="1" applyFont="1" applyBorder="1" applyAlignment="1">
      <alignment horizontal="right" vertical="center"/>
    </xf>
    <xf numFmtId="165" fontId="3" fillId="0" borderId="37" xfId="1041" applyFont="1" applyFill="1" applyBorder="1" applyAlignment="1">
      <alignment horizontal="center" vertical="center"/>
    </xf>
    <xf numFmtId="171" fontId="3" fillId="0" borderId="71" xfId="499" applyNumberFormat="1" applyFont="1" applyBorder="1" applyAlignment="1">
      <alignment horizontal="right" vertical="center"/>
    </xf>
    <xf numFmtId="165" fontId="3" fillId="0" borderId="38" xfId="1041" applyFont="1" applyFill="1" applyBorder="1" applyAlignment="1">
      <alignment horizontal="center" vertical="center"/>
    </xf>
    <xf numFmtId="165" fontId="86" fillId="33" borderId="24" xfId="1041" applyFont="1" applyFill="1" applyBorder="1" applyAlignment="1">
      <alignment horizontal="right"/>
    </xf>
    <xf numFmtId="165" fontId="86" fillId="33" borderId="24" xfId="1041" applyFont="1" applyFill="1" applyBorder="1" applyAlignment="1">
      <alignment horizontal="left"/>
    </xf>
    <xf numFmtId="165" fontId="86" fillId="33" borderId="24" xfId="1041" applyFont="1" applyFill="1" applyBorder="1" applyAlignment="1">
      <alignment horizontal="center"/>
    </xf>
    <xf numFmtId="0" fontId="2" fillId="0" borderId="0" xfId="0" applyFont="1"/>
    <xf numFmtId="4" fontId="3" fillId="0" borderId="24" xfId="1041" applyNumberFormat="1" applyFont="1" applyFill="1" applyBorder="1" applyAlignment="1">
      <alignment horizontal="right" vertical="center"/>
    </xf>
    <xf numFmtId="4" fontId="2" fillId="36" borderId="24" xfId="1041" applyNumberFormat="1" applyFont="1" applyFill="1" applyBorder="1" applyAlignment="1">
      <alignment horizontal="center" vertical="center"/>
    </xf>
    <xf numFmtId="0" fontId="60" fillId="36" borderId="22" xfId="0" applyFont="1" applyFill="1" applyBorder="1" applyAlignment="1">
      <alignment horizontal="center" vertical="center"/>
    </xf>
    <xf numFmtId="0" fontId="59" fillId="36" borderId="0" xfId="0" applyFont="1" applyFill="1"/>
    <xf numFmtId="0" fontId="59" fillId="36" borderId="0" xfId="0" applyFont="1" applyFill="1" applyAlignment="1">
      <alignment horizontal="center"/>
    </xf>
    <xf numFmtId="0" fontId="60" fillId="36" borderId="34" xfId="0" applyFont="1" applyFill="1" applyBorder="1" applyAlignment="1">
      <alignment horizontal="center" vertical="center" wrapText="1"/>
    </xf>
    <xf numFmtId="0" fontId="60" fillId="36" borderId="24" xfId="0" applyFont="1" applyFill="1" applyBorder="1" applyAlignment="1">
      <alignment horizontal="center" vertical="center" wrapText="1"/>
    </xf>
    <xf numFmtId="0" fontId="60" fillId="36" borderId="24" xfId="0" applyFont="1" applyFill="1" applyBorder="1" applyAlignment="1">
      <alignment horizontal="center" vertical="center"/>
    </xf>
    <xf numFmtId="4" fontId="60" fillId="36" borderId="35" xfId="0" applyNumberFormat="1" applyFont="1" applyFill="1" applyBorder="1" applyAlignment="1">
      <alignment horizontal="center" vertical="center"/>
    </xf>
    <xf numFmtId="0" fontId="60" fillId="36" borderId="0" xfId="0" applyFont="1" applyFill="1"/>
    <xf numFmtId="0" fontId="59" fillId="36" borderId="24" xfId="0" applyFont="1" applyFill="1" applyBorder="1"/>
    <xf numFmtId="172" fontId="60" fillId="36" borderId="24" xfId="498" applyNumberFormat="1" applyFont="1" applyFill="1" applyBorder="1" applyAlignment="1" applyProtection="1">
      <alignment horizontal="left" vertical="center"/>
      <protection locked="0"/>
    </xf>
    <xf numFmtId="0" fontId="59" fillId="36" borderId="24" xfId="0" applyFont="1" applyFill="1" applyBorder="1" applyAlignment="1">
      <alignment horizontal="center" vertical="center"/>
    </xf>
    <xf numFmtId="169" fontId="59" fillId="36" borderId="35" xfId="0" applyNumberFormat="1" applyFont="1" applyFill="1" applyBorder="1" applyAlignment="1">
      <alignment horizontal="center" vertical="center"/>
    </xf>
    <xf numFmtId="0" fontId="59" fillId="36" borderId="34" xfId="0" applyFont="1" applyFill="1" applyBorder="1" applyAlignment="1">
      <alignment horizontal="center" vertical="center" wrapText="1"/>
    </xf>
    <xf numFmtId="0" fontId="59" fillId="36" borderId="21" xfId="415" applyFont="1" applyFill="1" applyBorder="1" applyAlignment="1">
      <alignment horizontal="center" vertical="center"/>
    </xf>
    <xf numFmtId="0" fontId="59" fillId="36" borderId="24" xfId="415" applyFont="1" applyFill="1" applyBorder="1" applyAlignment="1">
      <alignment horizontal="center" vertical="center"/>
    </xf>
    <xf numFmtId="0" fontId="59" fillId="36" borderId="24" xfId="415" applyFont="1" applyFill="1" applyBorder="1" applyAlignment="1">
      <alignment horizontal="left" vertical="center"/>
    </xf>
    <xf numFmtId="169" fontId="59" fillId="36" borderId="35" xfId="415" applyNumberFormat="1" applyFont="1" applyFill="1" applyBorder="1" applyAlignment="1">
      <alignment horizontal="right" vertical="center"/>
    </xf>
    <xf numFmtId="169" fontId="59" fillId="36" borderId="35" xfId="0" applyNumberFormat="1" applyFont="1" applyFill="1" applyBorder="1" applyAlignment="1">
      <alignment horizontal="right" vertical="center"/>
    </xf>
    <xf numFmtId="0" fontId="59" fillId="36" borderId="34" xfId="415" applyFont="1" applyFill="1" applyBorder="1" applyAlignment="1">
      <alignment horizontal="center" vertical="center"/>
    </xf>
    <xf numFmtId="0" fontId="59" fillId="36" borderId="24" xfId="415" applyFont="1" applyFill="1" applyBorder="1" applyAlignment="1">
      <alignment horizontal="left" vertical="center" wrapText="1"/>
    </xf>
    <xf numFmtId="10" fontId="59" fillId="36" borderId="0" xfId="0" applyNumberFormat="1" applyFont="1" applyFill="1"/>
    <xf numFmtId="173" fontId="59" fillId="36" borderId="0" xfId="0" applyNumberFormat="1" applyFont="1" applyFill="1"/>
    <xf numFmtId="0" fontId="59" fillId="36" borderId="24" xfId="426" applyFont="1" applyFill="1" applyBorder="1" applyAlignment="1">
      <alignment horizontal="center" vertical="center"/>
    </xf>
    <xf numFmtId="0" fontId="60" fillId="36" borderId="34" xfId="415" applyFont="1" applyFill="1" applyBorder="1" applyAlignment="1">
      <alignment horizontal="center" vertical="center"/>
    </xf>
    <xf numFmtId="0" fontId="60" fillId="36" borderId="24" xfId="415" applyFont="1" applyFill="1" applyBorder="1" applyAlignment="1">
      <alignment horizontal="center" vertical="center"/>
    </xf>
    <xf numFmtId="0" fontId="60" fillId="36" borderId="24" xfId="415" applyFont="1" applyFill="1" applyBorder="1" applyAlignment="1">
      <alignment horizontal="left" vertical="center"/>
    </xf>
    <xf numFmtId="0" fontId="59" fillId="36" borderId="24" xfId="0" applyFont="1" applyFill="1" applyBorder="1" applyAlignment="1">
      <alignment horizontal="center" vertical="center" wrapText="1"/>
    </xf>
    <xf numFmtId="0" fontId="60" fillId="36" borderId="34" xfId="0" applyFont="1" applyFill="1" applyBorder="1" applyAlignment="1">
      <alignment horizontal="center" vertical="center"/>
    </xf>
    <xf numFmtId="0" fontId="60" fillId="36" borderId="24" xfId="0" applyFont="1" applyFill="1" applyBorder="1" applyAlignment="1">
      <alignment horizontal="left" vertical="center"/>
    </xf>
    <xf numFmtId="0" fontId="59" fillId="36" borderId="34" xfId="0" applyFont="1" applyFill="1" applyBorder="1" applyAlignment="1">
      <alignment horizontal="center" vertical="center"/>
    </xf>
    <xf numFmtId="0" fontId="59" fillId="36" borderId="24" xfId="0" applyFont="1" applyFill="1" applyBorder="1" applyAlignment="1">
      <alignment horizontal="left" vertical="center"/>
    </xf>
    <xf numFmtId="0" fontId="59" fillId="36" borderId="0" xfId="0" applyFont="1" applyFill="1" applyAlignment="1">
      <alignment horizontal="left" vertical="center"/>
    </xf>
    <xf numFmtId="0" fontId="103" fillId="36" borderId="24" xfId="0" applyFont="1" applyFill="1" applyBorder="1" applyAlignment="1">
      <alignment vertical="center" wrapText="1"/>
    </xf>
    <xf numFmtId="169" fontId="59" fillId="36" borderId="0" xfId="0" applyNumberFormat="1" applyFont="1" applyFill="1"/>
    <xf numFmtId="0" fontId="59" fillId="36" borderId="24" xfId="0" applyFont="1" applyFill="1" applyBorder="1" applyAlignment="1">
      <alignment horizontal="left" vertical="center" wrapText="1"/>
    </xf>
    <xf numFmtId="3" fontId="59" fillId="36" borderId="24" xfId="498" applyNumberFormat="1" applyFont="1" applyFill="1" applyBorder="1" applyAlignment="1" applyProtection="1">
      <alignment horizontal="center" vertical="center"/>
      <protection locked="0"/>
    </xf>
    <xf numFmtId="172" fontId="59" fillId="36" borderId="24" xfId="498" applyNumberFormat="1" applyFont="1" applyFill="1" applyBorder="1" applyAlignment="1" applyProtection="1">
      <alignment horizontal="center" vertical="center"/>
      <protection locked="0"/>
    </xf>
    <xf numFmtId="0" fontId="56" fillId="36" borderId="0" xfId="0" applyFont="1" applyFill="1"/>
    <xf numFmtId="0" fontId="60" fillId="36" borderId="58" xfId="0" applyFont="1" applyFill="1" applyBorder="1" applyAlignment="1">
      <alignment horizontal="center" vertical="center"/>
    </xf>
    <xf numFmtId="0" fontId="59" fillId="36" borderId="22" xfId="415" applyFont="1" applyFill="1" applyBorder="1" applyAlignment="1">
      <alignment horizontal="center" vertical="center"/>
    </xf>
    <xf numFmtId="0" fontId="60" fillId="36" borderId="22" xfId="0" applyFont="1" applyFill="1" applyBorder="1" applyAlignment="1">
      <alignment vertical="center"/>
    </xf>
    <xf numFmtId="169" fontId="59" fillId="36" borderId="63" xfId="0" applyNumberFormat="1" applyFont="1" applyFill="1" applyBorder="1" applyAlignment="1">
      <alignment horizontal="right" vertical="center"/>
    </xf>
    <xf numFmtId="169" fontId="56" fillId="36" borderId="35" xfId="415" applyNumberFormat="1" applyFont="1" applyFill="1" applyBorder="1" applyAlignment="1">
      <alignment horizontal="right" vertical="center"/>
    </xf>
    <xf numFmtId="0" fontId="60" fillId="36" borderId="24" xfId="0" applyFont="1" applyFill="1" applyBorder="1" applyAlignment="1">
      <alignment vertical="center"/>
    </xf>
    <xf numFmtId="169" fontId="56" fillId="36" borderId="35" xfId="0" applyNumberFormat="1" applyFont="1" applyFill="1" applyBorder="1" applyAlignment="1">
      <alignment horizontal="right" vertical="center"/>
    </xf>
    <xf numFmtId="0" fontId="59" fillId="36" borderId="0" xfId="0" applyFont="1" applyFill="1" applyAlignment="1">
      <alignment horizontal="left"/>
    </xf>
    <xf numFmtId="0" fontId="59" fillId="36" borderId="24" xfId="415" applyFont="1" applyFill="1" applyBorder="1" applyAlignment="1">
      <alignment vertical="center"/>
    </xf>
    <xf numFmtId="0" fontId="59" fillId="36" borderId="24" xfId="415" applyFont="1" applyFill="1" applyBorder="1" applyAlignment="1">
      <alignment vertical="center" wrapText="1"/>
    </xf>
    <xf numFmtId="0" fontId="59" fillId="0" borderId="24" xfId="415" applyFont="1" applyBorder="1" applyAlignment="1">
      <alignment horizontal="center" vertical="center"/>
    </xf>
    <xf numFmtId="0" fontId="59" fillId="0" borderId="24" xfId="415" applyFont="1" applyBorder="1" applyAlignment="1">
      <alignment horizontal="left" vertical="center" wrapText="1"/>
    </xf>
    <xf numFmtId="0" fontId="59" fillId="0" borderId="24" xfId="0" applyFont="1" applyBorder="1" applyAlignment="1">
      <alignment horizontal="center" vertical="center"/>
    </xf>
    <xf numFmtId="169" fontId="59" fillId="36" borderId="35" xfId="1041" applyNumberFormat="1" applyFont="1" applyFill="1" applyBorder="1" applyAlignment="1">
      <alignment horizontal="right" vertical="center"/>
    </xf>
    <xf numFmtId="0" fontId="59" fillId="0" borderId="21" xfId="415" applyFont="1" applyBorder="1" applyAlignment="1">
      <alignment horizontal="center" vertical="center"/>
    </xf>
    <xf numFmtId="0" fontId="59" fillId="0" borderId="24" xfId="415" applyFont="1" applyBorder="1" applyAlignment="1">
      <alignment vertical="center" wrapText="1"/>
    </xf>
    <xf numFmtId="0" fontId="59" fillId="0" borderId="24" xfId="415" applyFont="1" applyBorder="1" applyAlignment="1">
      <alignment horizontal="left" vertical="center"/>
    </xf>
    <xf numFmtId="0" fontId="60" fillId="0" borderId="24" xfId="415" applyFont="1" applyBorder="1" applyAlignment="1">
      <alignment horizontal="center" vertical="center"/>
    </xf>
    <xf numFmtId="0" fontId="60" fillId="0" borderId="24" xfId="415" applyFont="1" applyBorder="1" applyAlignment="1">
      <alignment vertical="center"/>
    </xf>
    <xf numFmtId="0" fontId="59" fillId="36" borderId="21" xfId="415" applyFont="1" applyFill="1" applyBorder="1" applyAlignment="1">
      <alignment vertical="center" wrapText="1"/>
    </xf>
    <xf numFmtId="0" fontId="59" fillId="36" borderId="21" xfId="415" quotePrefix="1" applyFont="1" applyFill="1" applyBorder="1" applyAlignment="1">
      <alignment horizontal="center" vertical="center"/>
    </xf>
    <xf numFmtId="0" fontId="59" fillId="0" borderId="21" xfId="415" quotePrefix="1" applyFont="1" applyBorder="1" applyAlignment="1">
      <alignment horizontal="center" vertical="center"/>
    </xf>
    <xf numFmtId="0" fontId="59" fillId="0" borderId="21" xfId="415" applyFont="1" applyBorder="1" applyAlignment="1">
      <alignment vertical="center" wrapText="1"/>
    </xf>
    <xf numFmtId="0" fontId="59" fillId="36" borderId="37" xfId="415" applyFont="1" applyFill="1" applyBorder="1" applyAlignment="1">
      <alignment horizontal="center" vertical="center"/>
    </xf>
    <xf numFmtId="0" fontId="59" fillId="36" borderId="37" xfId="415" applyFont="1" applyFill="1" applyBorder="1" applyAlignment="1">
      <alignment vertical="center" wrapText="1"/>
    </xf>
    <xf numFmtId="169" fontId="59" fillId="36" borderId="38" xfId="0" applyNumberFormat="1" applyFont="1" applyFill="1" applyBorder="1" applyAlignment="1">
      <alignment horizontal="right" vertical="center"/>
    </xf>
    <xf numFmtId="0" fontId="77" fillId="42" borderId="127" xfId="0" applyFont="1" applyFill="1" applyBorder="1" applyAlignment="1">
      <alignment horizontal="left" vertical="top" readingOrder="1"/>
    </xf>
    <xf numFmtId="0" fontId="77" fillId="42" borderId="128" xfId="0" applyFont="1" applyFill="1" applyBorder="1" applyAlignment="1">
      <alignment horizontal="left" vertical="top" wrapText="1" readingOrder="1"/>
    </xf>
    <xf numFmtId="0" fontId="77" fillId="42" borderId="128" xfId="0" applyFont="1" applyFill="1" applyBorder="1" applyAlignment="1">
      <alignment horizontal="left" vertical="top" readingOrder="1"/>
    </xf>
    <xf numFmtId="0" fontId="77" fillId="42" borderId="129" xfId="0" applyFont="1" applyFill="1" applyBorder="1" applyAlignment="1">
      <alignment horizontal="left" vertical="top" readingOrder="1"/>
    </xf>
    <xf numFmtId="0" fontId="58" fillId="42" borderId="130" xfId="0" applyFont="1" applyFill="1" applyBorder="1" applyAlignment="1">
      <alignment vertical="top"/>
    </xf>
    <xf numFmtId="0" fontId="58" fillId="42" borderId="131" xfId="0" applyFont="1" applyFill="1" applyBorder="1" applyAlignment="1">
      <alignment vertical="top"/>
    </xf>
    <xf numFmtId="0" fontId="58" fillId="42" borderId="132" xfId="0" applyFont="1" applyFill="1" applyBorder="1" applyAlignment="1">
      <alignment vertical="top"/>
    </xf>
    <xf numFmtId="0" fontId="58" fillId="42" borderId="133" xfId="0" applyFont="1" applyFill="1" applyBorder="1" applyAlignment="1">
      <alignment vertical="top"/>
    </xf>
    <xf numFmtId="0" fontId="2" fillId="42" borderId="130" xfId="0" applyFont="1" applyFill="1" applyBorder="1" applyAlignment="1">
      <alignment vertical="top"/>
    </xf>
    <xf numFmtId="0" fontId="2" fillId="42" borderId="51" xfId="0" applyFont="1" applyFill="1" applyBorder="1" applyAlignment="1">
      <alignment vertical="top"/>
    </xf>
    <xf numFmtId="0" fontId="2" fillId="42" borderId="132" xfId="0" applyFont="1" applyFill="1" applyBorder="1" applyAlignment="1">
      <alignment vertical="top"/>
    </xf>
    <xf numFmtId="0" fontId="58" fillId="42" borderId="0" xfId="0" applyFont="1" applyFill="1" applyAlignment="1">
      <alignment vertical="top"/>
    </xf>
    <xf numFmtId="0" fontId="58" fillId="42" borderId="0" xfId="0" applyFont="1" applyFill="1" applyAlignment="1">
      <alignment vertical="top" wrapText="1" readingOrder="1"/>
    </xf>
    <xf numFmtId="0" fontId="2" fillId="42" borderId="136" xfId="0" applyFont="1" applyFill="1" applyBorder="1" applyAlignment="1">
      <alignment vertical="top"/>
    </xf>
    <xf numFmtId="0" fontId="58" fillId="42" borderId="44" xfId="0" applyFont="1" applyFill="1" applyBorder="1" applyAlignment="1">
      <alignment vertical="top"/>
    </xf>
    <xf numFmtId="0" fontId="58" fillId="42" borderId="47" xfId="0" applyFont="1" applyFill="1" applyBorder="1"/>
    <xf numFmtId="0" fontId="58" fillId="42" borderId="47" xfId="0" applyFont="1" applyFill="1" applyBorder="1" applyAlignment="1">
      <alignment wrapText="1" readingOrder="1"/>
    </xf>
    <xf numFmtId="0" fontId="58" fillId="42" borderId="46" xfId="0" applyFont="1" applyFill="1" applyBorder="1" applyAlignment="1">
      <alignment vertical="top"/>
    </xf>
    <xf numFmtId="0" fontId="58" fillId="42" borderId="51" xfId="0" applyFont="1" applyFill="1" applyBorder="1" applyAlignment="1">
      <alignment vertical="top"/>
    </xf>
    <xf numFmtId="0" fontId="85" fillId="42" borderId="127" xfId="0" applyFont="1" applyFill="1" applyBorder="1" applyAlignment="1">
      <alignment horizontal="left" vertical="top" readingOrder="1"/>
    </xf>
    <xf numFmtId="0" fontId="85" fillId="42" borderId="128" xfId="0" applyFont="1" applyFill="1" applyBorder="1" applyAlignment="1">
      <alignment horizontal="left" vertical="top" wrapText="1" readingOrder="1"/>
    </xf>
    <xf numFmtId="0" fontId="85" fillId="42" borderId="129" xfId="0" applyFont="1" applyFill="1" applyBorder="1" applyAlignment="1">
      <alignment horizontal="left" vertical="top" readingOrder="1"/>
    </xf>
    <xf numFmtId="0" fontId="2" fillId="42" borderId="131" xfId="0" applyFont="1" applyFill="1" applyBorder="1" applyAlignment="1">
      <alignment vertical="top"/>
    </xf>
    <xf numFmtId="0" fontId="2" fillId="42" borderId="133" xfId="0" applyFont="1" applyFill="1" applyBorder="1" applyAlignment="1">
      <alignment vertical="top"/>
    </xf>
    <xf numFmtId="4" fontId="57" fillId="0" borderId="24" xfId="0" applyNumberFormat="1" applyFont="1" applyBorder="1" applyAlignment="1">
      <alignment horizontal="center" vertical="center"/>
    </xf>
    <xf numFmtId="4" fontId="58" fillId="0" borderId="24" xfId="0" applyNumberFormat="1" applyFont="1" applyBorder="1" applyAlignment="1">
      <alignment horizontal="center" vertical="center"/>
    </xf>
    <xf numFmtId="4" fontId="58" fillId="0" borderId="0" xfId="0" applyNumberFormat="1" applyFont="1" applyAlignment="1">
      <alignment vertical="center"/>
    </xf>
    <xf numFmtId="0" fontId="58" fillId="0" borderId="108" xfId="0" applyFont="1" applyBorder="1" applyAlignment="1">
      <alignment vertical="top"/>
    </xf>
    <xf numFmtId="0" fontId="58" fillId="0" borderId="99" xfId="0" applyFont="1" applyBorder="1" applyAlignment="1">
      <alignment vertical="top"/>
    </xf>
    <xf numFmtId="0" fontId="58" fillId="0" borderId="0" xfId="0" applyFont="1" applyAlignment="1">
      <alignment vertical="top"/>
    </xf>
    <xf numFmtId="0" fontId="58" fillId="0" borderId="47" xfId="0" applyFont="1" applyBorder="1"/>
    <xf numFmtId="0" fontId="2" fillId="0" borderId="108" xfId="0" applyFont="1" applyBorder="1" applyAlignment="1">
      <alignment vertical="top"/>
    </xf>
    <xf numFmtId="0" fontId="2" fillId="0" borderId="99" xfId="0" applyFont="1" applyBorder="1" applyAlignment="1">
      <alignment vertical="top"/>
    </xf>
    <xf numFmtId="0" fontId="58" fillId="36" borderId="26" xfId="0" applyFont="1" applyFill="1" applyBorder="1" applyAlignment="1">
      <alignment horizontal="center" vertical="center"/>
    </xf>
    <xf numFmtId="2" fontId="2" fillId="36" borderId="52" xfId="1091" applyNumberFormat="1" applyFont="1" applyFill="1" applyBorder="1" applyAlignment="1">
      <alignment horizontal="center" vertical="center"/>
    </xf>
    <xf numFmtId="3" fontId="92" fillId="36" borderId="76" xfId="0" applyNumberFormat="1" applyFont="1" applyFill="1" applyBorder="1" applyAlignment="1">
      <alignment horizontal="left" vertical="center" wrapText="1"/>
    </xf>
    <xf numFmtId="3" fontId="92" fillId="36" borderId="51" xfId="0" applyNumberFormat="1" applyFont="1" applyFill="1" applyBorder="1" applyAlignment="1">
      <alignment horizontal="center" vertical="center"/>
    </xf>
    <xf numFmtId="169" fontId="92" fillId="36" borderId="52" xfId="0" applyNumberFormat="1" applyFont="1" applyFill="1" applyBorder="1" applyAlignment="1">
      <alignment horizontal="right" vertical="center"/>
    </xf>
    <xf numFmtId="179" fontId="92" fillId="36" borderId="59" xfId="1041" applyNumberFormat="1" applyFont="1" applyFill="1" applyBorder="1" applyAlignment="1">
      <alignment horizontal="right" vertical="center"/>
    </xf>
    <xf numFmtId="165" fontId="92" fillId="36" borderId="59" xfId="1041" applyFont="1" applyFill="1" applyBorder="1" applyAlignment="1">
      <alignment horizontal="right" vertical="center"/>
    </xf>
    <xf numFmtId="169" fontId="92" fillId="36" borderId="59" xfId="359" applyNumberFormat="1" applyFont="1" applyFill="1" applyBorder="1" applyAlignment="1">
      <alignment horizontal="right" vertical="center"/>
    </xf>
    <xf numFmtId="169" fontId="92" fillId="36" borderId="59" xfId="0" applyNumberFormat="1" applyFont="1" applyFill="1" applyBorder="1" applyAlignment="1">
      <alignment horizontal="right" vertical="center"/>
    </xf>
    <xf numFmtId="169" fontId="92" fillId="36" borderId="62" xfId="0" applyNumberFormat="1" applyFont="1" applyFill="1" applyBorder="1" applyAlignment="1">
      <alignment horizontal="right" vertical="center"/>
    </xf>
    <xf numFmtId="179" fontId="60" fillId="36" borderId="0" xfId="0" applyNumberFormat="1" applyFont="1" applyFill="1" applyAlignment="1">
      <alignment vertical="center"/>
    </xf>
    <xf numFmtId="169" fontId="59" fillId="36" borderId="61" xfId="0" applyNumberFormat="1" applyFont="1" applyFill="1" applyBorder="1" applyAlignment="1">
      <alignment horizontal="right" vertical="center"/>
    </xf>
    <xf numFmtId="0" fontId="2" fillId="0" borderId="0" xfId="314"/>
    <xf numFmtId="0" fontId="86" fillId="36" borderId="60" xfId="314" applyFont="1" applyFill="1" applyBorder="1" applyAlignment="1">
      <alignment horizontal="center" vertical="center"/>
    </xf>
    <xf numFmtId="0" fontId="86" fillId="36" borderId="50" xfId="314" applyFont="1" applyFill="1" applyBorder="1" applyAlignment="1">
      <alignment horizontal="center" vertical="center"/>
    </xf>
    <xf numFmtId="0" fontId="86" fillId="33" borderId="24" xfId="314" applyFont="1" applyFill="1" applyBorder="1" applyAlignment="1">
      <alignment horizontal="center"/>
    </xf>
    <xf numFmtId="0" fontId="86" fillId="0" borderId="24" xfId="314" applyFont="1" applyBorder="1" applyAlignment="1">
      <alignment horizontal="center"/>
    </xf>
    <xf numFmtId="0" fontId="86" fillId="0" borderId="24" xfId="314" applyFont="1" applyBorder="1" applyAlignment="1">
      <alignment horizontal="center" vertical="center"/>
    </xf>
    <xf numFmtId="0" fontId="86" fillId="36" borderId="35" xfId="314" applyFont="1" applyFill="1" applyBorder="1" applyAlignment="1">
      <alignment horizontal="center" vertical="center"/>
    </xf>
    <xf numFmtId="0" fontId="86" fillId="36" borderId="27" xfId="314" applyFont="1" applyFill="1" applyBorder="1" applyAlignment="1">
      <alignment horizontal="center" vertical="center"/>
    </xf>
    <xf numFmtId="0" fontId="86" fillId="33" borderId="34" xfId="314" applyFont="1" applyFill="1" applyBorder="1" applyAlignment="1">
      <alignment vertical="center"/>
    </xf>
    <xf numFmtId="1" fontId="86" fillId="33" borderId="24" xfId="314" applyNumberFormat="1" applyFont="1" applyFill="1" applyBorder="1" applyAlignment="1">
      <alignment horizontal="center"/>
    </xf>
    <xf numFmtId="2" fontId="86" fillId="33" borderId="24" xfId="314" applyNumberFormat="1" applyFont="1" applyFill="1" applyBorder="1" applyAlignment="1">
      <alignment horizontal="center"/>
    </xf>
    <xf numFmtId="0" fontId="86" fillId="33" borderId="34" xfId="314" applyFont="1" applyFill="1" applyBorder="1" applyAlignment="1">
      <alignment horizontal="center"/>
    </xf>
    <xf numFmtId="0" fontId="86" fillId="33" borderId="35" xfId="314" applyFont="1" applyFill="1" applyBorder="1" applyAlignment="1">
      <alignment horizontal="left"/>
    </xf>
    <xf numFmtId="43" fontId="2" fillId="0" borderId="0" xfId="314" applyNumberFormat="1"/>
    <xf numFmtId="40" fontId="86" fillId="33" borderId="24" xfId="314" applyNumberFormat="1" applyFont="1" applyFill="1" applyBorder="1" applyAlignment="1">
      <alignment horizontal="right"/>
    </xf>
    <xf numFmtId="40" fontId="86" fillId="33" borderId="24" xfId="314" applyNumberFormat="1" applyFont="1" applyFill="1" applyBorder="1" applyAlignment="1">
      <alignment horizontal="left"/>
    </xf>
    <xf numFmtId="40" fontId="86" fillId="33" borderId="24" xfId="314" applyNumberFormat="1" applyFont="1" applyFill="1" applyBorder="1" applyAlignment="1">
      <alignment horizontal="center"/>
    </xf>
    <xf numFmtId="40" fontId="86" fillId="33" borderId="24" xfId="314" applyNumberFormat="1" applyFont="1" applyFill="1" applyBorder="1" applyAlignment="1">
      <alignment horizontal="center" vertical="center" wrapText="1"/>
    </xf>
    <xf numFmtId="0" fontId="86" fillId="33" borderId="35" xfId="314" applyFont="1" applyFill="1" applyBorder="1" applyAlignment="1">
      <alignment horizontal="center" vertical="center" wrapText="1"/>
    </xf>
    <xf numFmtId="0" fontId="86" fillId="33" borderId="35" xfId="314" applyFont="1" applyFill="1" applyBorder="1" applyAlignment="1">
      <alignment horizontal="center"/>
    </xf>
    <xf numFmtId="0" fontId="86" fillId="33" borderId="34" xfId="314" applyFont="1" applyFill="1" applyBorder="1" applyAlignment="1">
      <alignment horizontal="left"/>
    </xf>
    <xf numFmtId="0" fontId="86" fillId="33" borderId="24" xfId="314" applyFont="1" applyFill="1" applyBorder="1" applyAlignment="1">
      <alignment horizontal="left"/>
    </xf>
    <xf numFmtId="40" fontId="86" fillId="0" borderId="24" xfId="314" applyNumberFormat="1" applyFont="1" applyBorder="1" applyAlignment="1">
      <alignment horizontal="right"/>
    </xf>
    <xf numFmtId="2" fontId="86" fillId="33" borderId="35" xfId="314" applyNumberFormat="1" applyFont="1" applyFill="1" applyBorder="1" applyAlignment="1">
      <alignment horizontal="center"/>
    </xf>
    <xf numFmtId="2" fontId="86" fillId="0" borderId="24" xfId="314" applyNumberFormat="1" applyFont="1" applyBorder="1" applyAlignment="1">
      <alignment horizontal="right"/>
    </xf>
    <xf numFmtId="0" fontId="86" fillId="33" borderId="36" xfId="314" applyFont="1" applyFill="1" applyBorder="1" applyAlignment="1">
      <alignment horizontal="left"/>
    </xf>
    <xf numFmtId="0" fontId="86" fillId="33" borderId="37" xfId="314" applyFont="1" applyFill="1" applyBorder="1" applyAlignment="1">
      <alignment horizontal="center"/>
    </xf>
    <xf numFmtId="40" fontId="86" fillId="0" borderId="37" xfId="314" applyNumberFormat="1" applyFont="1" applyBorder="1" applyAlignment="1">
      <alignment horizontal="right"/>
    </xf>
    <xf numFmtId="0" fontId="86" fillId="33" borderId="37" xfId="314" applyFont="1" applyFill="1" applyBorder="1" applyAlignment="1">
      <alignment horizontal="left"/>
    </xf>
    <xf numFmtId="0" fontId="86" fillId="33" borderId="38" xfId="314" applyFont="1" applyFill="1" applyBorder="1" applyAlignment="1">
      <alignment horizontal="center"/>
    </xf>
    <xf numFmtId="0" fontId="89" fillId="33" borderId="34" xfId="314" applyFont="1" applyFill="1" applyBorder="1" applyAlignment="1">
      <alignment horizontal="center"/>
    </xf>
    <xf numFmtId="0" fontId="89" fillId="33" borderId="24" xfId="314" applyFont="1" applyFill="1" applyBorder="1" applyAlignment="1">
      <alignment horizontal="centerContinuous"/>
    </xf>
    <xf numFmtId="0" fontId="89" fillId="33" borderId="35" xfId="314" applyFont="1" applyFill="1" applyBorder="1" applyAlignment="1">
      <alignment horizontal="center"/>
    </xf>
    <xf numFmtId="0" fontId="89" fillId="33" borderId="24" xfId="314" applyFont="1" applyFill="1" applyBorder="1" applyAlignment="1">
      <alignment horizontal="center"/>
    </xf>
    <xf numFmtId="0" fontId="90" fillId="33" borderId="34" xfId="314" applyFont="1" applyFill="1" applyBorder="1" applyAlignment="1">
      <alignment horizontal="center" vertical="center" wrapText="1"/>
    </xf>
    <xf numFmtId="0" fontId="90" fillId="33" borderId="24" xfId="314" applyFont="1" applyFill="1" applyBorder="1" applyAlignment="1">
      <alignment horizontal="center"/>
    </xf>
    <xf numFmtId="0" fontId="90" fillId="0" borderId="24" xfId="314" applyFont="1" applyBorder="1" applyAlignment="1">
      <alignment horizontal="center" vertical="center"/>
    </xf>
    <xf numFmtId="2" fontId="90" fillId="33" borderId="24" xfId="314" applyNumberFormat="1" applyFont="1" applyFill="1" applyBorder="1" applyAlignment="1">
      <alignment horizontal="center" vertical="center"/>
    </xf>
    <xf numFmtId="170" fontId="90" fillId="33" borderId="24" xfId="314" applyNumberFormat="1" applyFont="1" applyFill="1" applyBorder="1" applyAlignment="1">
      <alignment horizontal="center" vertical="center"/>
    </xf>
    <xf numFmtId="0" fontId="90" fillId="33" borderId="35" xfId="314" applyFont="1" applyFill="1" applyBorder="1" applyAlignment="1">
      <alignment horizontal="center" vertical="center"/>
    </xf>
    <xf numFmtId="0" fontId="90" fillId="33" borderId="60" xfId="314" applyFont="1" applyFill="1" applyBorder="1" applyAlignment="1">
      <alignment horizontal="center" vertical="center" wrapText="1"/>
    </xf>
    <xf numFmtId="0" fontId="90" fillId="33" borderId="50" xfId="314" applyFont="1" applyFill="1" applyBorder="1" applyAlignment="1">
      <alignment horizontal="center"/>
    </xf>
    <xf numFmtId="0" fontId="90" fillId="0" borderId="50" xfId="314" applyFont="1" applyBorder="1" applyAlignment="1">
      <alignment horizontal="center" vertical="center"/>
    </xf>
    <xf numFmtId="2" fontId="90" fillId="33" borderId="50" xfId="314" applyNumberFormat="1" applyFont="1" applyFill="1" applyBorder="1" applyAlignment="1">
      <alignment horizontal="center" vertical="center"/>
    </xf>
    <xf numFmtId="170" fontId="90" fillId="33" borderId="50" xfId="314" applyNumberFormat="1" applyFont="1" applyFill="1" applyBorder="1" applyAlignment="1">
      <alignment horizontal="center" vertical="center"/>
    </xf>
    <xf numFmtId="0" fontId="90" fillId="33" borderId="64" xfId="314" applyFont="1" applyFill="1" applyBorder="1" applyAlignment="1">
      <alignment horizontal="center" vertical="center"/>
    </xf>
    <xf numFmtId="0" fontId="90" fillId="33" borderId="50" xfId="314" applyFont="1" applyFill="1" applyBorder="1" applyAlignment="1">
      <alignment horizontal="center" vertical="center" wrapText="1"/>
    </xf>
    <xf numFmtId="0" fontId="90" fillId="33" borderId="64" xfId="314" applyFont="1" applyFill="1" applyBorder="1" applyAlignment="1">
      <alignment horizontal="center" vertical="center" wrapText="1"/>
    </xf>
    <xf numFmtId="0" fontId="104" fillId="33" borderId="60" xfId="314" applyFont="1" applyFill="1" applyBorder="1" applyAlignment="1">
      <alignment horizontal="center" vertical="center" wrapText="1"/>
    </xf>
    <xf numFmtId="0" fontId="90" fillId="33" borderId="34" xfId="314" applyFont="1" applyFill="1" applyBorder="1" applyAlignment="1">
      <alignment horizontal="center" vertical="center"/>
    </xf>
    <xf numFmtId="170" fontId="90" fillId="0" borderId="24" xfId="314" applyNumberFormat="1" applyFont="1" applyBorder="1" applyAlignment="1">
      <alignment horizontal="center" vertical="center"/>
    </xf>
    <xf numFmtId="0" fontId="91" fillId="0" borderId="35" xfId="314" applyFont="1" applyBorder="1" applyAlignment="1">
      <alignment horizontal="center" vertical="center"/>
    </xf>
    <xf numFmtId="0" fontId="90" fillId="33" borderId="36" xfId="314" applyFont="1" applyFill="1" applyBorder="1" applyAlignment="1">
      <alignment horizontal="center" vertical="center"/>
    </xf>
    <xf numFmtId="0" fontId="90" fillId="0" borderId="37" xfId="314" applyFont="1" applyBorder="1" applyAlignment="1">
      <alignment horizontal="center" vertical="center"/>
    </xf>
    <xf numFmtId="170" fontId="90" fillId="0" borderId="37" xfId="314" applyNumberFormat="1" applyFont="1" applyBorder="1" applyAlignment="1">
      <alignment horizontal="center" vertical="center"/>
    </xf>
    <xf numFmtId="0" fontId="91" fillId="0" borderId="38" xfId="314" applyFont="1" applyBorder="1" applyAlignment="1">
      <alignment horizontal="center" vertical="center"/>
    </xf>
    <xf numFmtId="10" fontId="58" fillId="36" borderId="0" xfId="1090" applyNumberFormat="1" applyFont="1" applyFill="1" applyAlignment="1">
      <alignment vertical="center"/>
    </xf>
    <xf numFmtId="0" fontId="58" fillId="36" borderId="49" xfId="0" applyFont="1" applyFill="1" applyBorder="1" applyAlignment="1">
      <alignment horizontal="center" vertical="center" wrapText="1"/>
    </xf>
    <xf numFmtId="0" fontId="58" fillId="36" borderId="49" xfId="0" applyFont="1" applyFill="1" applyBorder="1" applyAlignment="1">
      <alignment horizontal="left" vertical="center" wrapText="1"/>
    </xf>
    <xf numFmtId="0" fontId="58" fillId="36" borderId="49" xfId="0" applyFont="1" applyFill="1" applyBorder="1" applyAlignment="1">
      <alignment vertical="center"/>
    </xf>
    <xf numFmtId="0" fontId="57" fillId="36" borderId="49" xfId="0" applyFont="1" applyFill="1" applyBorder="1" applyAlignment="1">
      <alignment horizontal="left" vertical="center"/>
    </xf>
    <xf numFmtId="0" fontId="58" fillId="36" borderId="49" xfId="0" applyFont="1" applyFill="1" applyBorder="1" applyAlignment="1">
      <alignment vertical="center" wrapText="1"/>
    </xf>
    <xf numFmtId="0" fontId="57" fillId="36" borderId="144" xfId="0" applyFont="1" applyFill="1" applyBorder="1" applyAlignment="1">
      <alignment vertical="center"/>
    </xf>
    <xf numFmtId="2" fontId="58" fillId="36" borderId="27" xfId="0" applyNumberFormat="1" applyFont="1" applyFill="1" applyBorder="1" applyAlignment="1">
      <alignment horizontal="center" vertical="center" wrapText="1"/>
    </xf>
    <xf numFmtId="2" fontId="58" fillId="36" borderId="27" xfId="0" applyNumberFormat="1" applyFont="1" applyFill="1" applyBorder="1" applyAlignment="1">
      <alignment horizontal="center" vertical="center"/>
    </xf>
    <xf numFmtId="2" fontId="57" fillId="36" borderId="27" xfId="0" applyNumberFormat="1" applyFont="1" applyFill="1" applyBorder="1" applyAlignment="1">
      <alignment horizontal="left" vertical="center"/>
    </xf>
    <xf numFmtId="0" fontId="57" fillId="36" borderId="26" xfId="0" applyFont="1" applyFill="1" applyBorder="1" applyAlignment="1">
      <alignment vertical="center"/>
    </xf>
    <xf numFmtId="0" fontId="58" fillId="36" borderId="21" xfId="0" applyFont="1" applyFill="1" applyBorder="1" applyAlignment="1">
      <alignment vertical="center"/>
    </xf>
    <xf numFmtId="3" fontId="92" fillId="36" borderId="49" xfId="0" applyNumberFormat="1" applyFont="1" applyFill="1" applyBorder="1" applyAlignment="1">
      <alignment horizontal="center" vertical="center"/>
    </xf>
    <xf numFmtId="3" fontId="92" fillId="36" borderId="50" xfId="0" applyNumberFormat="1" applyFont="1" applyFill="1" applyBorder="1" applyAlignment="1">
      <alignment horizontal="center" vertical="center"/>
    </xf>
    <xf numFmtId="3" fontId="92" fillId="36" borderId="0" xfId="0" quotePrefix="1" applyNumberFormat="1" applyFont="1" applyFill="1" applyAlignment="1">
      <alignment horizontal="center" vertical="center"/>
    </xf>
    <xf numFmtId="169" fontId="92" fillId="36" borderId="24" xfId="359" applyNumberFormat="1" applyFont="1" applyFill="1" applyBorder="1" applyAlignment="1">
      <alignment horizontal="right" vertical="center"/>
    </xf>
    <xf numFmtId="169" fontId="92" fillId="36" borderId="27" xfId="0" applyNumberFormat="1" applyFont="1" applyFill="1" applyBorder="1" applyAlignment="1">
      <alignment horizontal="right" vertical="center"/>
    </xf>
    <xf numFmtId="3" fontId="92" fillId="36" borderId="0" xfId="0" applyNumberFormat="1" applyFont="1" applyFill="1" applyAlignment="1">
      <alignment horizontal="center" vertical="center"/>
    </xf>
    <xf numFmtId="0" fontId="59" fillId="0" borderId="37" xfId="415" applyFont="1" applyBorder="1" applyAlignment="1">
      <alignment horizontal="center" vertical="center"/>
    </xf>
    <xf numFmtId="43" fontId="58" fillId="36" borderId="0" xfId="0" applyNumberFormat="1" applyFont="1" applyFill="1" applyAlignment="1">
      <alignment vertical="center"/>
    </xf>
    <xf numFmtId="0" fontId="57" fillId="0" borderId="34" xfId="0" applyFont="1" applyBorder="1" applyAlignment="1">
      <alignment horizontal="center" vertical="center"/>
    </xf>
    <xf numFmtId="0" fontId="59" fillId="36" borderId="75" xfId="0" applyFont="1" applyFill="1" applyBorder="1" applyAlignment="1">
      <alignment horizontal="center" vertical="center"/>
    </xf>
    <xf numFmtId="0" fontId="59" fillId="36" borderId="76" xfId="0" applyFont="1" applyFill="1" applyBorder="1" applyAlignment="1">
      <alignment horizontal="center" vertical="center"/>
    </xf>
    <xf numFmtId="0" fontId="59" fillId="36" borderId="58" xfId="0" applyFont="1" applyFill="1" applyBorder="1" applyAlignment="1">
      <alignment horizontal="center" vertical="center"/>
    </xf>
    <xf numFmtId="0" fontId="59" fillId="36" borderId="21" xfId="0" applyFont="1" applyFill="1" applyBorder="1" applyAlignment="1">
      <alignment horizontal="left" vertical="center"/>
    </xf>
    <xf numFmtId="0" fontId="59" fillId="36" borderId="59" xfId="0" applyFont="1" applyFill="1" applyBorder="1" applyAlignment="1">
      <alignment horizontal="left" vertical="center"/>
    </xf>
    <xf numFmtId="165" fontId="59" fillId="36" borderId="61" xfId="1041" applyFont="1" applyFill="1" applyBorder="1" applyAlignment="1">
      <alignment horizontal="center" vertical="center"/>
    </xf>
    <xf numFmtId="165" fontId="59" fillId="36" borderId="62" xfId="1041" applyFont="1" applyFill="1" applyBorder="1" applyAlignment="1">
      <alignment horizontal="center" vertical="center"/>
    </xf>
    <xf numFmtId="165" fontId="59" fillId="36" borderId="63" xfId="1041" applyFont="1" applyFill="1" applyBorder="1" applyAlignment="1">
      <alignment horizontal="center" vertical="center"/>
    </xf>
    <xf numFmtId="0" fontId="59" fillId="36" borderId="22" xfId="0" applyFont="1" applyFill="1" applyBorder="1" applyAlignment="1">
      <alignment horizontal="left" vertical="center"/>
    </xf>
    <xf numFmtId="0" fontId="72" fillId="36" borderId="77" xfId="0" applyFont="1" applyFill="1" applyBorder="1" applyAlignment="1">
      <alignment horizontal="center" vertical="center"/>
    </xf>
    <xf numFmtId="0" fontId="72" fillId="36" borderId="67" xfId="0" applyFont="1" applyFill="1" applyBorder="1" applyAlignment="1">
      <alignment horizontal="center" vertical="center"/>
    </xf>
    <xf numFmtId="0" fontId="72" fillId="36" borderId="68" xfId="0" applyFont="1" applyFill="1" applyBorder="1" applyAlignment="1">
      <alignment horizontal="center" vertical="center"/>
    </xf>
    <xf numFmtId="0" fontId="72" fillId="36" borderId="34" xfId="0" applyFont="1" applyFill="1" applyBorder="1" applyAlignment="1">
      <alignment horizontal="center" vertical="center"/>
    </xf>
    <xf numFmtId="0" fontId="72" fillId="36" borderId="24" xfId="0" applyFont="1" applyFill="1" applyBorder="1" applyAlignment="1">
      <alignment horizontal="center" vertical="center"/>
    </xf>
    <xf numFmtId="0" fontId="72" fillId="36" borderId="35" xfId="0" applyFont="1" applyFill="1" applyBorder="1" applyAlignment="1">
      <alignment horizontal="center" vertical="center"/>
    </xf>
    <xf numFmtId="0" fontId="57" fillId="36" borderId="50" xfId="0" applyFont="1" applyFill="1" applyBorder="1" applyAlignment="1">
      <alignment horizontal="right" vertical="center"/>
    </xf>
    <xf numFmtId="0" fontId="60" fillId="36" borderId="73" xfId="0" applyFont="1" applyFill="1" applyBorder="1" applyAlignment="1">
      <alignment horizontal="center" vertical="center"/>
    </xf>
    <xf numFmtId="0" fontId="60" fillId="36" borderId="40" xfId="0" applyFont="1" applyFill="1" applyBorder="1" applyAlignment="1">
      <alignment horizontal="center" vertical="center"/>
    </xf>
    <xf numFmtId="0" fontId="60" fillId="36" borderId="74" xfId="0" applyFont="1" applyFill="1" applyBorder="1" applyAlignment="1">
      <alignment horizontal="center" vertical="center"/>
    </xf>
    <xf numFmtId="0" fontId="59" fillId="36" borderId="21" xfId="0" applyFont="1" applyFill="1" applyBorder="1" applyAlignment="1">
      <alignment horizontal="left" vertical="center" wrapText="1"/>
    </xf>
    <xf numFmtId="0" fontId="59" fillId="36" borderId="59" xfId="0" applyFont="1" applyFill="1" applyBorder="1" applyAlignment="1">
      <alignment horizontal="left" vertical="center" wrapText="1"/>
    </xf>
    <xf numFmtId="0" fontId="59" fillId="36" borderId="22" xfId="0" applyFont="1" applyFill="1" applyBorder="1" applyAlignment="1">
      <alignment horizontal="left" vertical="center" wrapText="1"/>
    </xf>
    <xf numFmtId="172" fontId="57" fillId="36" borderId="71" xfId="498" applyNumberFormat="1" applyFont="1" applyFill="1" applyBorder="1" applyAlignment="1">
      <alignment horizontal="left" vertical="center"/>
    </xf>
    <xf numFmtId="172" fontId="57" fillId="36" borderId="72" xfId="498" applyNumberFormat="1" applyFont="1" applyFill="1" applyBorder="1" applyAlignment="1">
      <alignment horizontal="left" vertical="center"/>
    </xf>
    <xf numFmtId="0" fontId="69" fillId="36" borderId="73" xfId="0" applyFont="1" applyFill="1" applyBorder="1" applyAlignment="1">
      <alignment horizontal="left" vertical="center"/>
    </xf>
    <xf numFmtId="0" fontId="69" fillId="36" borderId="48" xfId="0" applyFont="1" applyFill="1" applyBorder="1" applyAlignment="1">
      <alignment horizontal="left" vertical="center"/>
    </xf>
    <xf numFmtId="0" fontId="69" fillId="36" borderId="40" xfId="0" applyFont="1" applyFill="1" applyBorder="1" applyAlignment="1">
      <alignment horizontal="left" vertical="center"/>
    </xf>
    <xf numFmtId="0" fontId="69" fillId="36" borderId="52" xfId="0" applyFont="1" applyFill="1" applyBorder="1" applyAlignment="1">
      <alignment horizontal="left" vertical="center"/>
    </xf>
    <xf numFmtId="0" fontId="69" fillId="36" borderId="74" xfId="0" applyFont="1" applyFill="1" applyBorder="1" applyAlignment="1">
      <alignment horizontal="left" vertical="center"/>
    </xf>
    <xf numFmtId="0" fontId="69" fillId="36" borderId="46" xfId="0" applyFont="1" applyFill="1" applyBorder="1" applyAlignment="1">
      <alignment horizontal="left" vertical="center"/>
    </xf>
    <xf numFmtId="0" fontId="58" fillId="36" borderId="60" xfId="0" applyFont="1" applyFill="1" applyBorder="1" applyAlignment="1">
      <alignment horizontal="left" vertical="center"/>
    </xf>
    <xf numFmtId="0" fontId="58" fillId="36" borderId="27" xfId="0" applyFont="1" applyFill="1" applyBorder="1" applyAlignment="1">
      <alignment horizontal="left" vertical="center"/>
    </xf>
    <xf numFmtId="0" fontId="57" fillId="36" borderId="24" xfId="0" applyFont="1" applyFill="1" applyBorder="1" applyAlignment="1">
      <alignment horizontal="left" vertical="center"/>
    </xf>
    <xf numFmtId="0" fontId="57" fillId="36" borderId="35" xfId="0" applyFont="1" applyFill="1" applyBorder="1" applyAlignment="1">
      <alignment horizontal="left" vertical="center"/>
    </xf>
    <xf numFmtId="0" fontId="57" fillId="36" borderId="25" xfId="0" applyFont="1" applyFill="1" applyBorder="1" applyAlignment="1">
      <alignment horizontal="left" vertical="center" wrapText="1"/>
    </xf>
    <xf numFmtId="0" fontId="57" fillId="36" borderId="65" xfId="0" applyFont="1" applyFill="1" applyBorder="1" applyAlignment="1">
      <alignment horizontal="left" vertical="center" wrapText="1"/>
    </xf>
    <xf numFmtId="0" fontId="60" fillId="36" borderId="74" xfId="0" applyFont="1" applyFill="1" applyBorder="1" applyAlignment="1">
      <alignment horizontal="left" vertical="center" wrapText="1"/>
    </xf>
    <xf numFmtId="0" fontId="60" fillId="36" borderId="47" xfId="0" applyFont="1" applyFill="1" applyBorder="1" applyAlignment="1">
      <alignment horizontal="left" vertical="center" wrapText="1"/>
    </xf>
    <xf numFmtId="0" fontId="60" fillId="36" borderId="66" xfId="0" applyFont="1" applyFill="1" applyBorder="1" applyAlignment="1">
      <alignment horizontal="left" vertical="center" wrapText="1"/>
    </xf>
    <xf numFmtId="4" fontId="60" fillId="36" borderId="68" xfId="0" applyNumberFormat="1" applyFont="1" applyFill="1" applyBorder="1" applyAlignment="1">
      <alignment horizontal="center" vertical="center"/>
    </xf>
    <xf numFmtId="4" fontId="60" fillId="36" borderId="61" xfId="0" applyNumberFormat="1" applyFont="1" applyFill="1" applyBorder="1" applyAlignment="1">
      <alignment horizontal="center" vertical="center"/>
    </xf>
    <xf numFmtId="0" fontId="60" fillId="36" borderId="77" xfId="0" applyFont="1" applyFill="1" applyBorder="1" applyAlignment="1">
      <alignment horizontal="center" vertical="center" wrapText="1"/>
    </xf>
    <xf numFmtId="0" fontId="60" fillId="36" borderId="67" xfId="0" applyFont="1" applyFill="1" applyBorder="1" applyAlignment="1">
      <alignment horizontal="center" vertical="center" wrapText="1"/>
    </xf>
    <xf numFmtId="0" fontId="60" fillId="36" borderId="34" xfId="0" applyFont="1" applyFill="1" applyBorder="1" applyAlignment="1">
      <alignment horizontal="left" vertical="center" wrapText="1"/>
    </xf>
    <xf numFmtId="0" fontId="60" fillId="36" borderId="24" xfId="0" applyFont="1" applyFill="1" applyBorder="1" applyAlignment="1">
      <alignment horizontal="left" vertical="center" wrapText="1"/>
    </xf>
    <xf numFmtId="0" fontId="60" fillId="36" borderId="49" xfId="0" applyFont="1" applyFill="1" applyBorder="1" applyAlignment="1">
      <alignment horizontal="left" vertical="center" wrapText="1"/>
    </xf>
    <xf numFmtId="0" fontId="60" fillId="36" borderId="50" xfId="0" applyFont="1" applyFill="1" applyBorder="1" applyAlignment="1">
      <alignment horizontal="left" vertical="center" wrapText="1"/>
    </xf>
    <xf numFmtId="0" fontId="60" fillId="36" borderId="27" xfId="0" applyFont="1" applyFill="1" applyBorder="1" applyAlignment="1">
      <alignment horizontal="left" vertical="center" wrapText="1"/>
    </xf>
    <xf numFmtId="0" fontId="60" fillId="36" borderId="25" xfId="0" applyFont="1" applyFill="1" applyBorder="1" applyAlignment="1">
      <alignment horizontal="left" vertical="center" wrapText="1"/>
    </xf>
    <xf numFmtId="0" fontId="60" fillId="36" borderId="26" xfId="0" applyFont="1" applyFill="1" applyBorder="1" applyAlignment="1">
      <alignment horizontal="left" vertical="center" wrapText="1"/>
    </xf>
    <xf numFmtId="0" fontId="60" fillId="36" borderId="48" xfId="0" applyFont="1" applyFill="1" applyBorder="1" applyAlignment="1">
      <alignment horizontal="left" vertical="center" wrapText="1"/>
    </xf>
    <xf numFmtId="0" fontId="60" fillId="36" borderId="44" xfId="0" applyFont="1" applyFill="1" applyBorder="1" applyAlignment="1">
      <alignment horizontal="left" vertical="center" wrapText="1"/>
    </xf>
    <xf numFmtId="0" fontId="60" fillId="36" borderId="46" xfId="0" applyFont="1" applyFill="1" applyBorder="1" applyAlignment="1">
      <alignment horizontal="left" vertical="center" wrapText="1"/>
    </xf>
    <xf numFmtId="0" fontId="60" fillId="36" borderId="73" xfId="0" applyFont="1" applyFill="1" applyBorder="1" applyAlignment="1">
      <alignment horizontal="left" vertical="center" wrapText="1"/>
    </xf>
    <xf numFmtId="4" fontId="60" fillId="36" borderId="62" xfId="0" applyNumberFormat="1" applyFont="1" applyFill="1" applyBorder="1" applyAlignment="1">
      <alignment horizontal="center" vertical="top"/>
    </xf>
    <xf numFmtId="4" fontId="60" fillId="36" borderId="63" xfId="0" applyNumberFormat="1" applyFont="1" applyFill="1" applyBorder="1" applyAlignment="1">
      <alignment horizontal="center" vertical="top"/>
    </xf>
    <xf numFmtId="4" fontId="57" fillId="36" borderId="59" xfId="0" applyNumberFormat="1" applyFont="1" applyFill="1" applyBorder="1" applyAlignment="1">
      <alignment horizontal="center" vertical="top"/>
    </xf>
    <xf numFmtId="4" fontId="57" fillId="36" borderId="22" xfId="0" applyNumberFormat="1" applyFont="1" applyFill="1" applyBorder="1" applyAlignment="1">
      <alignment horizontal="center" vertical="top"/>
    </xf>
    <xf numFmtId="169" fontId="58" fillId="36" borderId="0" xfId="0" applyNumberFormat="1" applyFont="1" applyFill="1" applyAlignment="1">
      <alignment horizontal="center" vertical="center"/>
    </xf>
    <xf numFmtId="0" fontId="69" fillId="36" borderId="49" xfId="0" applyFont="1" applyFill="1" applyBorder="1" applyAlignment="1">
      <alignment horizontal="left" vertical="center" wrapText="1"/>
    </xf>
    <xf numFmtId="0" fontId="69" fillId="36" borderId="50" xfId="0" applyFont="1" applyFill="1" applyBorder="1" applyAlignment="1">
      <alignment horizontal="left" vertical="center" wrapText="1"/>
    </xf>
    <xf numFmtId="0" fontId="69" fillId="36" borderId="27" xfId="0" applyFont="1" applyFill="1" applyBorder="1" applyAlignment="1">
      <alignment horizontal="left" vertical="center" wrapText="1"/>
    </xf>
    <xf numFmtId="0" fontId="69" fillId="36" borderId="25" xfId="0" applyFont="1" applyFill="1" applyBorder="1" applyAlignment="1">
      <alignment horizontal="center" vertical="center" wrapText="1"/>
    </xf>
    <xf numFmtId="0" fontId="69" fillId="36" borderId="26" xfId="0" applyFont="1" applyFill="1" applyBorder="1" applyAlignment="1">
      <alignment horizontal="center" vertical="center" wrapText="1"/>
    </xf>
    <xf numFmtId="0" fontId="69" fillId="36" borderId="48" xfId="0" applyFont="1" applyFill="1" applyBorder="1" applyAlignment="1">
      <alignment horizontal="center" vertical="center" wrapText="1"/>
    </xf>
    <xf numFmtId="0" fontId="69" fillId="36" borderId="51" xfId="0" applyFont="1" applyFill="1" applyBorder="1" applyAlignment="1">
      <alignment horizontal="center" vertical="center" wrapText="1"/>
    </xf>
    <xf numFmtId="0" fontId="69" fillId="36" borderId="0" xfId="0" applyFont="1" applyFill="1" applyAlignment="1">
      <alignment horizontal="center" vertical="center" wrapText="1"/>
    </xf>
    <xf numFmtId="0" fontId="69" fillId="36" borderId="52" xfId="0" applyFont="1" applyFill="1" applyBorder="1" applyAlignment="1">
      <alignment horizontal="center" vertical="center" wrapText="1"/>
    </xf>
    <xf numFmtId="0" fontId="69" fillId="36" borderId="44" xfId="0" applyFont="1" applyFill="1" applyBorder="1" applyAlignment="1">
      <alignment horizontal="center" vertical="center" wrapText="1"/>
    </xf>
    <xf numFmtId="0" fontId="69" fillId="36" borderId="47" xfId="0" applyFont="1" applyFill="1" applyBorder="1" applyAlignment="1">
      <alignment horizontal="center" vertical="center" wrapText="1"/>
    </xf>
    <xf numFmtId="0" fontId="69" fillId="36" borderId="46" xfId="0" applyFont="1" applyFill="1" applyBorder="1" applyAlignment="1">
      <alignment horizontal="center" vertical="center" wrapText="1"/>
    </xf>
    <xf numFmtId="0" fontId="57" fillId="36" borderId="25" xfId="0" applyFont="1" applyFill="1" applyBorder="1" applyAlignment="1">
      <alignment horizontal="center" vertical="center" wrapText="1"/>
    </xf>
    <xf numFmtId="0" fontId="57" fillId="36" borderId="26" xfId="0" applyFont="1" applyFill="1" applyBorder="1" applyAlignment="1">
      <alignment horizontal="center" vertical="center" wrapText="1"/>
    </xf>
    <xf numFmtId="0" fontId="57" fillId="36" borderId="44" xfId="0" applyFont="1" applyFill="1" applyBorder="1" applyAlignment="1">
      <alignment horizontal="center" vertical="center" wrapText="1"/>
    </xf>
    <xf numFmtId="0" fontId="57" fillId="36" borderId="47" xfId="0" applyFont="1" applyFill="1" applyBorder="1" applyAlignment="1">
      <alignment horizontal="center" vertical="center" wrapText="1"/>
    </xf>
    <xf numFmtId="0" fontId="72" fillId="36" borderId="49" xfId="0" applyFont="1" applyFill="1" applyBorder="1" applyAlignment="1">
      <alignment horizontal="center" vertical="center"/>
    </xf>
    <xf numFmtId="0" fontId="72" fillId="36" borderId="50" xfId="0" applyFont="1" applyFill="1" applyBorder="1" applyAlignment="1">
      <alignment horizontal="center" vertical="center"/>
    </xf>
    <xf numFmtId="0" fontId="72" fillId="36" borderId="27" xfId="0" applyFont="1" applyFill="1" applyBorder="1" applyAlignment="1">
      <alignment horizontal="center" vertical="center"/>
    </xf>
    <xf numFmtId="0" fontId="57" fillId="36" borderId="25" xfId="0" applyFont="1" applyFill="1" applyBorder="1" applyAlignment="1">
      <alignment horizontal="center" vertical="center"/>
    </xf>
    <xf numFmtId="0" fontId="57" fillId="36" borderId="26" xfId="0" applyFont="1" applyFill="1" applyBorder="1" applyAlignment="1">
      <alignment horizontal="center" vertical="center"/>
    </xf>
    <xf numFmtId="0" fontId="57" fillId="36" borderId="44" xfId="0" applyFont="1" applyFill="1" applyBorder="1" applyAlignment="1">
      <alignment horizontal="center" vertical="center"/>
    </xf>
    <xf numFmtId="0" fontId="57" fillId="36" borderId="47" xfId="0" applyFont="1" applyFill="1" applyBorder="1" applyAlignment="1">
      <alignment horizontal="center" vertical="center"/>
    </xf>
    <xf numFmtId="4" fontId="57" fillId="0" borderId="48" xfId="1041" applyNumberFormat="1" applyFont="1" applyFill="1" applyBorder="1" applyAlignment="1">
      <alignment horizontal="center" vertical="center" wrapText="1"/>
    </xf>
    <xf numFmtId="4" fontId="57" fillId="0" borderId="46" xfId="1041" applyNumberFormat="1" applyFont="1" applyFill="1" applyBorder="1" applyAlignment="1">
      <alignment horizontal="center" vertical="center" wrapText="1"/>
    </xf>
    <xf numFmtId="0" fontId="57" fillId="36" borderId="25" xfId="1041" applyNumberFormat="1" applyFont="1" applyFill="1" applyBorder="1" applyAlignment="1">
      <alignment horizontal="center" vertical="center" wrapText="1"/>
    </xf>
    <xf numFmtId="0" fontId="57" fillId="36" borderId="44" xfId="1041" applyNumberFormat="1" applyFont="1" applyFill="1" applyBorder="1" applyAlignment="1">
      <alignment horizontal="center" vertical="center" wrapText="1"/>
    </xf>
    <xf numFmtId="4" fontId="57" fillId="36" borderId="48" xfId="1041" applyNumberFormat="1" applyFont="1" applyFill="1" applyBorder="1" applyAlignment="1">
      <alignment horizontal="center" vertical="center"/>
    </xf>
    <xf numFmtId="4" fontId="57" fillId="36" borderId="46" xfId="1041" applyNumberFormat="1" applyFont="1" applyFill="1" applyBorder="1" applyAlignment="1">
      <alignment horizontal="center" vertical="center"/>
    </xf>
    <xf numFmtId="4" fontId="57" fillId="36" borderId="21" xfId="0" applyNumberFormat="1" applyFont="1" applyFill="1" applyBorder="1" applyAlignment="1">
      <alignment horizontal="center" vertical="center"/>
    </xf>
    <xf numFmtId="4" fontId="57" fillId="36" borderId="22" xfId="0" applyNumberFormat="1" applyFont="1" applyFill="1" applyBorder="1" applyAlignment="1">
      <alignment horizontal="center" vertical="center"/>
    </xf>
    <xf numFmtId="0" fontId="60" fillId="36" borderId="21" xfId="0" applyFont="1" applyFill="1" applyBorder="1" applyAlignment="1">
      <alignment horizontal="center" vertical="center"/>
    </xf>
    <xf numFmtId="0" fontId="60" fillId="36" borderId="22" xfId="0" applyFont="1" applyFill="1" applyBorder="1" applyAlignment="1">
      <alignment horizontal="center" vertical="center"/>
    </xf>
    <xf numFmtId="0" fontId="57" fillId="36" borderId="24" xfId="0" applyFont="1" applyFill="1" applyBorder="1" applyAlignment="1">
      <alignment horizontal="center" vertical="center"/>
    </xf>
    <xf numFmtId="0" fontId="57" fillId="36" borderId="78" xfId="0" applyFont="1" applyFill="1" applyBorder="1" applyAlignment="1">
      <alignment horizontal="center" vertical="center"/>
    </xf>
    <xf numFmtId="0" fontId="57" fillId="36" borderId="55" xfId="0" applyFont="1" applyFill="1" applyBorder="1" applyAlignment="1">
      <alignment horizontal="center" vertical="center"/>
    </xf>
    <xf numFmtId="0" fontId="57" fillId="36" borderId="79" xfId="0" applyFont="1" applyFill="1" applyBorder="1" applyAlignment="1">
      <alignment horizontal="center" vertical="center"/>
    </xf>
    <xf numFmtId="0" fontId="58" fillId="36" borderId="25" xfId="0" applyFont="1" applyFill="1" applyBorder="1" applyAlignment="1">
      <alignment horizontal="center" vertical="center"/>
    </xf>
    <xf numFmtId="0" fontId="58" fillId="36" borderId="26" xfId="0" applyFont="1" applyFill="1" applyBorder="1" applyAlignment="1">
      <alignment horizontal="center" vertical="center"/>
    </xf>
    <xf numFmtId="0" fontId="58" fillId="36" borderId="48" xfId="0" applyFont="1" applyFill="1" applyBorder="1" applyAlignment="1">
      <alignment horizontal="center" vertical="center"/>
    </xf>
    <xf numFmtId="4" fontId="70" fillId="0" borderId="24" xfId="0" applyNumberFormat="1" applyFont="1" applyBorder="1" applyAlignment="1">
      <alignment horizontal="center" vertical="center"/>
    </xf>
    <xf numFmtId="4" fontId="70" fillId="0" borderId="35" xfId="0" applyNumberFormat="1" applyFont="1" applyBorder="1" applyAlignment="1">
      <alignment horizontal="center" vertical="center"/>
    </xf>
    <xf numFmtId="180" fontId="70" fillId="0" borderId="24" xfId="0" applyNumberFormat="1" applyFont="1" applyBorder="1" applyAlignment="1">
      <alignment horizontal="center" vertical="center"/>
    </xf>
    <xf numFmtId="180" fontId="70" fillId="36" borderId="49" xfId="0" applyNumberFormat="1" applyFont="1" applyFill="1" applyBorder="1" applyAlignment="1">
      <alignment horizontal="center" vertical="center"/>
    </xf>
    <xf numFmtId="180" fontId="70" fillId="36" borderId="50" xfId="0" applyNumberFormat="1" applyFont="1" applyFill="1" applyBorder="1" applyAlignment="1">
      <alignment horizontal="center" vertical="center"/>
    </xf>
    <xf numFmtId="180" fontId="70" fillId="36" borderId="27" xfId="0" applyNumberFormat="1" applyFont="1" applyFill="1" applyBorder="1" applyAlignment="1">
      <alignment horizontal="center" vertical="center"/>
    </xf>
    <xf numFmtId="178" fontId="70" fillId="0" borderId="24" xfId="0" applyNumberFormat="1" applyFont="1" applyBorder="1" applyAlignment="1">
      <alignment horizontal="center" vertical="center"/>
    </xf>
    <xf numFmtId="178" fontId="70" fillId="0" borderId="35" xfId="0" applyNumberFormat="1" applyFont="1" applyBorder="1" applyAlignment="1">
      <alignment horizontal="center" vertical="center"/>
    </xf>
    <xf numFmtId="0" fontId="69" fillId="0" borderId="77" xfId="0" applyFont="1" applyBorder="1" applyAlignment="1">
      <alignment horizontal="center" vertical="center" wrapText="1"/>
    </xf>
    <xf numFmtId="0" fontId="69" fillId="0" borderId="67" xfId="0" applyFont="1" applyBorder="1" applyAlignment="1">
      <alignment horizontal="center" vertical="center" wrapText="1"/>
    </xf>
    <xf numFmtId="0" fontId="69" fillId="0" borderId="34" xfId="0" applyFont="1" applyBorder="1" applyAlignment="1">
      <alignment horizontal="center" vertical="center" wrapText="1"/>
    </xf>
    <xf numFmtId="0" fontId="69" fillId="0" borderId="24" xfId="0" applyFont="1" applyBorder="1" applyAlignment="1">
      <alignment horizontal="center" vertical="center" wrapText="1"/>
    </xf>
    <xf numFmtId="0" fontId="69" fillId="0" borderId="67" xfId="0" applyFont="1" applyBorder="1" applyAlignment="1">
      <alignment horizontal="center" vertical="center"/>
    </xf>
    <xf numFmtId="0" fontId="69" fillId="0" borderId="68" xfId="0" applyFont="1" applyBorder="1" applyAlignment="1">
      <alignment horizontal="center" vertical="center"/>
    </xf>
    <xf numFmtId="0" fontId="69" fillId="0" borderId="24" xfId="0" applyFont="1" applyBorder="1" applyAlignment="1">
      <alignment horizontal="center" vertical="center"/>
    </xf>
    <xf numFmtId="0" fontId="69" fillId="0" borderId="35" xfId="0" applyFont="1" applyBorder="1" applyAlignment="1">
      <alignment horizontal="center" vertical="center"/>
    </xf>
    <xf numFmtId="0" fontId="72" fillId="0" borderId="34" xfId="0" applyFont="1" applyBorder="1" applyAlignment="1">
      <alignment horizontal="center" vertical="center"/>
    </xf>
    <xf numFmtId="0" fontId="72" fillId="0" borderId="24" xfId="0" applyFont="1" applyBorder="1" applyAlignment="1">
      <alignment horizontal="center" vertical="center"/>
    </xf>
    <xf numFmtId="0" fontId="72" fillId="0" borderId="35" xfId="0" applyFont="1" applyBorder="1" applyAlignment="1">
      <alignment horizontal="center" vertical="center"/>
    </xf>
    <xf numFmtId="0" fontId="69" fillId="0" borderId="34" xfId="0" applyFont="1" applyBorder="1" applyAlignment="1">
      <alignment horizontal="center" wrapText="1"/>
    </xf>
    <xf numFmtId="0" fontId="69" fillId="0" borderId="24" xfId="0" applyFont="1" applyBorder="1" applyAlignment="1">
      <alignment horizontal="center" wrapText="1"/>
    </xf>
    <xf numFmtId="0" fontId="71" fillId="0" borderId="24" xfId="0" applyFont="1" applyBorder="1" applyAlignment="1">
      <alignment horizontal="center" vertical="center"/>
    </xf>
    <xf numFmtId="0" fontId="71" fillId="0" borderId="35" xfId="0" applyFont="1" applyBorder="1" applyAlignment="1">
      <alignment horizontal="center" vertical="center"/>
    </xf>
    <xf numFmtId="0" fontId="57" fillId="0" borderId="24" xfId="0" applyFont="1" applyBorder="1" applyAlignment="1">
      <alignment horizontal="center" vertical="center"/>
    </xf>
    <xf numFmtId="0" fontId="70" fillId="0" borderId="24" xfId="0" applyFont="1" applyBorder="1" applyAlignment="1">
      <alignment horizontal="center" vertical="center"/>
    </xf>
    <xf numFmtId="0" fontId="70" fillId="0" borderId="35" xfId="0" applyFont="1" applyBorder="1" applyAlignment="1">
      <alignment horizontal="center" vertical="center"/>
    </xf>
    <xf numFmtId="0" fontId="70" fillId="0" borderId="34" xfId="0" applyFont="1" applyBorder="1" applyAlignment="1">
      <alignment horizontal="center" vertical="center"/>
    </xf>
    <xf numFmtId="0" fontId="70" fillId="0" borderId="24" xfId="0" applyFont="1" applyBorder="1" applyAlignment="1">
      <alignment horizontal="left" vertical="center" indent="1"/>
    </xf>
    <xf numFmtId="2" fontId="70" fillId="0" borderId="24" xfId="0" applyNumberFormat="1" applyFont="1" applyBorder="1" applyAlignment="1">
      <alignment horizontal="center" vertical="center"/>
    </xf>
    <xf numFmtId="39" fontId="70" fillId="0" borderId="24" xfId="1041" applyNumberFormat="1" applyFont="1" applyBorder="1" applyAlignment="1">
      <alignment horizontal="center" vertical="center"/>
    </xf>
    <xf numFmtId="0" fontId="70" fillId="34" borderId="24" xfId="0" applyFont="1" applyFill="1" applyBorder="1" applyAlignment="1">
      <alignment horizontal="center" vertical="center"/>
    </xf>
    <xf numFmtId="0" fontId="70" fillId="0" borderId="24" xfId="0" applyFont="1" applyBorder="1" applyAlignment="1">
      <alignment horizontal="left" vertical="center" wrapText="1" indent="1"/>
    </xf>
    <xf numFmtId="9" fontId="70" fillId="0" borderId="24" xfId="0" applyNumberFormat="1" applyFont="1" applyBorder="1" applyAlignment="1">
      <alignment horizontal="center" vertical="center"/>
    </xf>
    <xf numFmtId="9" fontId="70" fillId="0" borderId="35" xfId="0" applyNumberFormat="1" applyFont="1" applyBorder="1" applyAlignment="1">
      <alignment horizontal="center" vertical="center"/>
    </xf>
    <xf numFmtId="2" fontId="70" fillId="0" borderId="21" xfId="0" applyNumberFormat="1" applyFont="1" applyBorder="1" applyAlignment="1">
      <alignment horizontal="center" vertical="center"/>
    </xf>
    <xf numFmtId="2" fontId="70" fillId="0" borderId="59" xfId="0" applyNumberFormat="1" applyFont="1" applyBorder="1" applyAlignment="1">
      <alignment horizontal="center" vertical="center"/>
    </xf>
    <xf numFmtId="2" fontId="70" fillId="0" borderId="22" xfId="0" applyNumberFormat="1" applyFont="1" applyBorder="1" applyAlignment="1">
      <alignment horizontal="center" vertical="center"/>
    </xf>
    <xf numFmtId="0" fontId="70" fillId="0" borderId="36" xfId="0" applyFont="1" applyBorder="1" applyAlignment="1">
      <alignment horizontal="center" vertical="center"/>
    </xf>
    <xf numFmtId="0" fontId="70" fillId="0" borderId="37" xfId="0" applyFont="1" applyBorder="1" applyAlignment="1">
      <alignment horizontal="center" vertical="center"/>
    </xf>
    <xf numFmtId="9" fontId="70" fillId="0" borderId="24" xfId="0" applyNumberFormat="1" applyFont="1" applyBorder="1" applyAlignment="1">
      <alignment horizontal="left" vertical="center" indent="2"/>
    </xf>
    <xf numFmtId="165" fontId="70" fillId="0" borderId="24" xfId="1041" applyFont="1" applyBorder="1" applyAlignment="1">
      <alignment vertical="center"/>
    </xf>
    <xf numFmtId="165" fontId="70" fillId="0" borderId="35" xfId="1041" applyFont="1" applyBorder="1" applyAlignment="1">
      <alignment vertical="center"/>
    </xf>
    <xf numFmtId="9" fontId="70" fillId="0" borderId="37" xfId="0" applyNumberFormat="1" applyFont="1" applyBorder="1" applyAlignment="1">
      <alignment horizontal="left" vertical="center" indent="2"/>
    </xf>
    <xf numFmtId="165" fontId="70" fillId="0" borderId="37" xfId="1041" applyFont="1" applyBorder="1" applyAlignment="1">
      <alignment vertical="center"/>
    </xf>
    <xf numFmtId="165" fontId="70" fillId="0" borderId="38" xfId="1041" applyFont="1" applyBorder="1" applyAlignment="1">
      <alignment vertical="center"/>
    </xf>
    <xf numFmtId="0" fontId="70" fillId="34" borderId="49" xfId="0" applyFont="1" applyFill="1" applyBorder="1" applyAlignment="1">
      <alignment horizontal="center" vertical="center"/>
    </xf>
    <xf numFmtId="0" fontId="70" fillId="34" borderId="50" xfId="0" applyFont="1" applyFill="1" applyBorder="1" applyAlignment="1">
      <alignment horizontal="center" vertical="center"/>
    </xf>
    <xf numFmtId="0" fontId="70" fillId="34" borderId="27" xfId="0" applyFont="1" applyFill="1" applyBorder="1" applyAlignment="1">
      <alignment horizontal="center" vertical="center"/>
    </xf>
    <xf numFmtId="0" fontId="70" fillId="34" borderId="64" xfId="0" applyFont="1" applyFill="1" applyBorder="1" applyAlignment="1">
      <alignment horizontal="center" vertical="center"/>
    </xf>
    <xf numFmtId="10" fontId="70" fillId="0" borderId="24" xfId="0" applyNumberFormat="1" applyFont="1" applyBorder="1" applyAlignment="1">
      <alignment horizontal="center" vertical="center"/>
    </xf>
    <xf numFmtId="10" fontId="70" fillId="0" borderId="35" xfId="0" applyNumberFormat="1" applyFont="1" applyBorder="1" applyAlignment="1">
      <alignment horizontal="center" vertical="center"/>
    </xf>
    <xf numFmtId="0" fontId="70" fillId="0" borderId="49" xfId="0" applyFont="1" applyBorder="1" applyAlignment="1">
      <alignment horizontal="center" vertical="center"/>
    </xf>
    <xf numFmtId="0" fontId="70" fillId="0" borderId="50" xfId="0" applyFont="1" applyBorder="1" applyAlignment="1">
      <alignment horizontal="center" vertical="center"/>
    </xf>
    <xf numFmtId="0" fontId="70" fillId="0" borderId="64" xfId="0" applyFont="1" applyBorder="1" applyAlignment="1">
      <alignment horizontal="center" vertical="center"/>
    </xf>
    <xf numFmtId="0" fontId="70" fillId="36" borderId="49" xfId="0" applyFont="1" applyFill="1" applyBorder="1" applyAlignment="1">
      <alignment horizontal="center" vertical="center"/>
    </xf>
    <xf numFmtId="0" fontId="70" fillId="36" borderId="50" xfId="0" applyFont="1" applyFill="1" applyBorder="1" applyAlignment="1">
      <alignment horizontal="center" vertical="center"/>
    </xf>
    <xf numFmtId="0" fontId="70" fillId="36" borderId="27" xfId="0" applyFont="1" applyFill="1" applyBorder="1" applyAlignment="1">
      <alignment horizontal="center" vertical="center"/>
    </xf>
    <xf numFmtId="165" fontId="2" fillId="0" borderId="32" xfId="1041" applyFont="1" applyFill="1" applyBorder="1" applyAlignment="1">
      <alignment horizontal="center" vertical="center"/>
    </xf>
    <xf numFmtId="165" fontId="2" fillId="0" borderId="33" xfId="1041" applyFont="1" applyFill="1" applyBorder="1" applyAlignment="1">
      <alignment horizontal="center" vertical="center"/>
    </xf>
    <xf numFmtId="165" fontId="2" fillId="0" borderId="0" xfId="1041" applyFont="1" applyFill="1" applyBorder="1" applyAlignment="1">
      <alignment horizontal="center" vertical="center"/>
    </xf>
    <xf numFmtId="165" fontId="2" fillId="0" borderId="29" xfId="1041" applyFont="1" applyFill="1" applyBorder="1" applyAlignment="1">
      <alignment horizontal="center" vertical="center"/>
    </xf>
    <xf numFmtId="165" fontId="2" fillId="0" borderId="30" xfId="1041" applyFont="1" applyFill="1" applyBorder="1" applyAlignment="1">
      <alignment horizontal="center" vertical="center"/>
    </xf>
    <xf numFmtId="165" fontId="2" fillId="0" borderId="31" xfId="1041" applyFont="1" applyFill="1" applyBorder="1" applyAlignment="1">
      <alignment horizontal="center" vertical="center"/>
    </xf>
    <xf numFmtId="0" fontId="94" fillId="0" borderId="123" xfId="0" applyFont="1" applyBorder="1" applyAlignment="1">
      <alignment horizontal="center" vertical="center" textRotation="90" wrapText="1"/>
    </xf>
    <xf numFmtId="0" fontId="94" fillId="0" borderId="124" xfId="0" applyFont="1" applyBorder="1" applyAlignment="1">
      <alignment horizontal="center" vertical="center" textRotation="90" wrapText="1"/>
    </xf>
    <xf numFmtId="0" fontId="94" fillId="0" borderId="143" xfId="0" applyFont="1" applyBorder="1" applyAlignment="1">
      <alignment horizontal="center" vertical="center" textRotation="90" wrapText="1"/>
    </xf>
    <xf numFmtId="0" fontId="3" fillId="0" borderId="117" xfId="499" applyFont="1" applyBorder="1" applyAlignment="1">
      <alignment horizontal="center" vertical="center"/>
    </xf>
    <xf numFmtId="0" fontId="3" fillId="0" borderId="113" xfId="499" applyFont="1" applyBorder="1" applyAlignment="1">
      <alignment horizontal="center" vertical="center"/>
    </xf>
    <xf numFmtId="165" fontId="3" fillId="0" borderId="118" xfId="1041" applyFont="1" applyFill="1" applyBorder="1" applyAlignment="1">
      <alignment horizontal="center" vertical="center"/>
    </xf>
    <xf numFmtId="165" fontId="3" fillId="0" borderId="69" xfId="1041" applyFont="1" applyFill="1" applyBorder="1" applyAlignment="1">
      <alignment horizontal="center" vertical="center"/>
    </xf>
    <xf numFmtId="165" fontId="2" fillId="0" borderId="119" xfId="1041" quotePrefix="1" applyFont="1" applyFill="1" applyBorder="1" applyAlignment="1">
      <alignment horizontal="center" vertical="center"/>
    </xf>
    <xf numFmtId="165" fontId="2" fillId="0" borderId="114" xfId="1041" quotePrefix="1" applyFont="1" applyFill="1" applyBorder="1" applyAlignment="1">
      <alignment horizontal="center" vertical="center"/>
    </xf>
    <xf numFmtId="165" fontId="2" fillId="0" borderId="120" xfId="1041" quotePrefix="1" applyFont="1" applyFill="1" applyBorder="1" applyAlignment="1">
      <alignment horizontal="center" vertical="center"/>
    </xf>
    <xf numFmtId="165" fontId="2" fillId="0" borderId="70" xfId="1041" quotePrefix="1" applyFont="1" applyFill="1" applyBorder="1" applyAlignment="1">
      <alignment horizontal="center" vertical="center"/>
    </xf>
    <xf numFmtId="0" fontId="76" fillId="41" borderId="77" xfId="0" applyFont="1" applyFill="1" applyBorder="1" applyAlignment="1">
      <alignment horizontal="center" vertical="center"/>
    </xf>
    <xf numFmtId="0" fontId="76" fillId="41" borderId="67" xfId="0" applyFont="1" applyFill="1" applyBorder="1" applyAlignment="1">
      <alignment horizontal="center" vertical="center"/>
    </xf>
    <xf numFmtId="0" fontId="76" fillId="41" borderId="68" xfId="0" applyFont="1" applyFill="1" applyBorder="1" applyAlignment="1">
      <alignment horizontal="center" vertical="center"/>
    </xf>
    <xf numFmtId="0" fontId="76" fillId="41" borderId="36" xfId="0" applyFont="1" applyFill="1" applyBorder="1" applyAlignment="1">
      <alignment horizontal="center" vertical="center"/>
    </xf>
    <xf numFmtId="0" fontId="76" fillId="41" borderId="37" xfId="0" applyFont="1" applyFill="1" applyBorder="1" applyAlignment="1">
      <alignment horizontal="center" vertical="center"/>
    </xf>
    <xf numFmtId="0" fontId="76" fillId="41" borderId="38" xfId="0" applyFont="1" applyFill="1" applyBorder="1" applyAlignment="1">
      <alignment horizontal="center" vertical="center"/>
    </xf>
    <xf numFmtId="165" fontId="3" fillId="0" borderId="77" xfId="1041" applyFont="1" applyBorder="1" applyAlignment="1">
      <alignment horizontal="center" vertical="center" wrapText="1"/>
    </xf>
    <xf numFmtId="165" fontId="3" fillId="0" borderId="34" xfId="1041" applyFont="1" applyBorder="1" applyAlignment="1">
      <alignment horizontal="center" vertical="center" wrapText="1"/>
    </xf>
    <xf numFmtId="165" fontId="3" fillId="0" borderId="67" xfId="1041" applyFont="1" applyBorder="1" applyAlignment="1">
      <alignment horizontal="center" vertical="center" wrapText="1"/>
    </xf>
    <xf numFmtId="165" fontId="3" fillId="0" borderId="24" xfId="1041" applyFont="1" applyBorder="1" applyAlignment="1">
      <alignment horizontal="center" vertical="center" wrapText="1"/>
    </xf>
    <xf numFmtId="165" fontId="3" fillId="0" borderId="68" xfId="1041" applyFont="1" applyBorder="1" applyAlignment="1">
      <alignment horizontal="center" vertical="center" wrapText="1"/>
    </xf>
    <xf numFmtId="165" fontId="3" fillId="0" borderId="35" xfId="1041" applyFont="1" applyBorder="1" applyAlignment="1">
      <alignment horizontal="center" vertical="center" wrapText="1"/>
    </xf>
    <xf numFmtId="0" fontId="94" fillId="0" borderId="74" xfId="0" applyFont="1" applyBorder="1" applyAlignment="1">
      <alignment horizontal="center" vertical="center" textRotation="90" wrapText="1"/>
    </xf>
    <xf numFmtId="0" fontId="94" fillId="0" borderId="60" xfId="0" applyFont="1" applyBorder="1" applyAlignment="1">
      <alignment horizontal="center" vertical="center" textRotation="90" wrapText="1"/>
    </xf>
    <xf numFmtId="0" fontId="94" fillId="0" borderId="116" xfId="0" applyFont="1" applyBorder="1" applyAlignment="1">
      <alignment horizontal="center" vertical="center" textRotation="90" wrapText="1"/>
    </xf>
    <xf numFmtId="0" fontId="97" fillId="0" borderId="35" xfId="1091" applyFont="1" applyBorder="1" applyAlignment="1">
      <alignment horizontal="center" vertical="center" wrapText="1"/>
    </xf>
    <xf numFmtId="0" fontId="97" fillId="0" borderId="35" xfId="1091" quotePrefix="1" applyFont="1" applyBorder="1" applyAlignment="1">
      <alignment horizontal="center" vertical="center" wrapText="1"/>
    </xf>
    <xf numFmtId="0" fontId="96" fillId="0" borderId="39" xfId="1091" applyFont="1" applyBorder="1" applyAlignment="1">
      <alignment horizontal="center" vertical="center"/>
    </xf>
    <xf numFmtId="0" fontId="96" fillId="0" borderId="32" xfId="1091" applyFont="1" applyBorder="1" applyAlignment="1">
      <alignment horizontal="center" vertical="center"/>
    </xf>
    <xf numFmtId="0" fontId="96" fillId="0" borderId="33" xfId="1091" applyFont="1" applyBorder="1" applyAlignment="1">
      <alignment horizontal="center" vertical="center"/>
    </xf>
    <xf numFmtId="0" fontId="96" fillId="0" borderId="40" xfId="1091" applyFont="1" applyBorder="1" applyAlignment="1">
      <alignment horizontal="center" vertical="center"/>
    </xf>
    <xf numFmtId="0" fontId="96" fillId="0" borderId="0" xfId="1091" applyFont="1" applyAlignment="1">
      <alignment horizontal="center" vertical="center"/>
    </xf>
    <xf numFmtId="0" fontId="96" fillId="0" borderId="29" xfId="1091" applyFont="1" applyBorder="1" applyAlignment="1">
      <alignment horizontal="center" vertical="center"/>
    </xf>
    <xf numFmtId="0" fontId="96" fillId="0" borderId="74" xfId="1091" applyFont="1" applyBorder="1" applyAlignment="1">
      <alignment horizontal="center" vertical="center"/>
    </xf>
    <xf numFmtId="0" fontId="96" fillId="0" borderId="47" xfId="1091" applyFont="1" applyBorder="1" applyAlignment="1">
      <alignment horizontal="center" vertical="center"/>
    </xf>
    <xf numFmtId="0" fontId="96" fillId="0" borderId="66" xfId="1091" applyFont="1" applyBorder="1" applyAlignment="1">
      <alignment horizontal="center" vertical="center"/>
    </xf>
    <xf numFmtId="0" fontId="97" fillId="0" borderId="34" xfId="1091" applyFont="1" applyBorder="1" applyAlignment="1">
      <alignment horizontal="center" vertical="center"/>
    </xf>
    <xf numFmtId="0" fontId="97" fillId="0" borderId="24" xfId="1091" applyFont="1" applyBorder="1" applyAlignment="1">
      <alignment horizontal="center" vertical="center" wrapText="1"/>
    </xf>
    <xf numFmtId="0" fontId="2" fillId="0" borderId="24" xfId="1091" applyFont="1" applyBorder="1" applyAlignment="1">
      <alignment horizontal="center" vertical="center" wrapText="1"/>
    </xf>
    <xf numFmtId="0" fontId="97" fillId="36" borderId="24" xfId="1091" applyFont="1" applyFill="1" applyBorder="1" applyAlignment="1">
      <alignment horizontal="center" vertical="center" wrapText="1"/>
    </xf>
    <xf numFmtId="0" fontId="2" fillId="36" borderId="0" xfId="1091" applyFont="1" applyFill="1" applyAlignment="1">
      <alignment horizontal="center" vertical="center"/>
    </xf>
    <xf numFmtId="188" fontId="99" fillId="0" borderId="40" xfId="1091" applyNumberFormat="1" applyFont="1" applyBorder="1" applyAlignment="1">
      <alignment horizontal="center" vertical="center"/>
    </xf>
    <xf numFmtId="188" fontId="99" fillId="0" borderId="0" xfId="1091" applyNumberFormat="1" applyFont="1" applyAlignment="1">
      <alignment horizontal="center" vertical="center"/>
    </xf>
    <xf numFmtId="188" fontId="99" fillId="0" borderId="29" xfId="1091" applyNumberFormat="1" applyFont="1" applyBorder="1" applyAlignment="1">
      <alignment horizontal="center" vertical="center"/>
    </xf>
    <xf numFmtId="2" fontId="2" fillId="36" borderId="119" xfId="1091" applyNumberFormat="1" applyFont="1" applyFill="1" applyBorder="1" applyAlignment="1">
      <alignment horizontal="center" vertical="center" wrapText="1"/>
    </xf>
    <xf numFmtId="2" fontId="2" fillId="36" borderId="32" xfId="1091" applyNumberFormat="1" applyFont="1" applyFill="1" applyBorder="1" applyAlignment="1">
      <alignment horizontal="center" vertical="center" wrapText="1"/>
    </xf>
    <xf numFmtId="2" fontId="2" fillId="36" borderId="51" xfId="1091" applyNumberFormat="1" applyFont="1" applyFill="1" applyBorder="1" applyAlignment="1">
      <alignment horizontal="center" vertical="center" wrapText="1"/>
    </xf>
    <xf numFmtId="2" fontId="2" fillId="36" borderId="0" xfId="1091" applyNumberFormat="1" applyFont="1" applyFill="1" applyAlignment="1">
      <alignment horizontal="center" vertical="center" wrapText="1"/>
    </xf>
    <xf numFmtId="2" fontId="2" fillId="36" borderId="114" xfId="1091" applyNumberFormat="1" applyFont="1" applyFill="1" applyBorder="1" applyAlignment="1">
      <alignment horizontal="center" vertical="center" wrapText="1"/>
    </xf>
    <xf numFmtId="2" fontId="2" fillId="36" borderId="30" xfId="1091" applyNumberFormat="1" applyFont="1" applyFill="1" applyBorder="1" applyAlignment="1">
      <alignment horizontal="center" vertical="center" wrapText="1"/>
    </xf>
    <xf numFmtId="189" fontId="2" fillId="36" borderId="51" xfId="1091" applyNumberFormat="1" applyFont="1" applyFill="1" applyBorder="1" applyAlignment="1">
      <alignment horizontal="center" vertical="center"/>
    </xf>
    <xf numFmtId="189" fontId="2" fillId="36" borderId="52" xfId="1091" applyNumberFormat="1" applyFont="1" applyFill="1" applyBorder="1" applyAlignment="1">
      <alignment horizontal="center" vertical="center"/>
    </xf>
    <xf numFmtId="170" fontId="2" fillId="36" borderId="0" xfId="1091" applyNumberFormat="1" applyFont="1" applyFill="1" applyAlignment="1">
      <alignment horizontal="center" vertical="center"/>
    </xf>
    <xf numFmtId="2" fontId="2" fillId="36" borderId="0" xfId="1091" applyNumberFormat="1" applyFont="1" applyFill="1" applyAlignment="1">
      <alignment horizontal="center" vertical="center"/>
    </xf>
    <xf numFmtId="2" fontId="2" fillId="36" borderId="52" xfId="1091" applyNumberFormat="1" applyFont="1" applyFill="1" applyBorder="1" applyAlignment="1">
      <alignment horizontal="center" vertical="center"/>
    </xf>
    <xf numFmtId="189" fontId="2" fillId="36" borderId="114" xfId="1091" applyNumberFormat="1" applyFont="1" applyFill="1" applyBorder="1" applyAlignment="1">
      <alignment horizontal="center" vertical="center"/>
    </xf>
    <xf numFmtId="189" fontId="2" fillId="36" borderId="121" xfId="1091" applyNumberFormat="1" applyFont="1" applyFill="1" applyBorder="1" applyAlignment="1">
      <alignment horizontal="center" vertical="center"/>
    </xf>
    <xf numFmtId="0" fontId="97" fillId="0" borderId="24" xfId="1091" quotePrefix="1" applyFont="1" applyBorder="1" applyAlignment="1">
      <alignment horizontal="center" vertical="center" wrapText="1"/>
    </xf>
    <xf numFmtId="170" fontId="2" fillId="36" borderId="30" xfId="1091" applyNumberFormat="1" applyFont="1" applyFill="1" applyBorder="1" applyAlignment="1">
      <alignment horizontal="center" vertical="center"/>
    </xf>
    <xf numFmtId="2" fontId="2" fillId="36" borderId="30" xfId="1091" applyNumberFormat="1" applyFont="1" applyFill="1" applyBorder="1" applyAlignment="1">
      <alignment horizontal="center" vertical="center"/>
    </xf>
    <xf numFmtId="2" fontId="2" fillId="36" borderId="121" xfId="1091" applyNumberFormat="1" applyFont="1" applyFill="1" applyBorder="1" applyAlignment="1">
      <alignment horizontal="center" vertical="center"/>
    </xf>
    <xf numFmtId="0" fontId="97" fillId="36" borderId="0" xfId="1091" applyFont="1" applyFill="1" applyAlignment="1">
      <alignment horizontal="right"/>
    </xf>
    <xf numFmtId="0" fontId="97" fillId="36" borderId="52" xfId="1091" applyFont="1" applyFill="1" applyBorder="1" applyAlignment="1">
      <alignment horizontal="right"/>
    </xf>
    <xf numFmtId="0" fontId="97" fillId="0" borderId="51" xfId="1091" applyFont="1" applyBorder="1" applyAlignment="1">
      <alignment horizontal="center"/>
    </xf>
    <xf numFmtId="0" fontId="97" fillId="0" borderId="0" xfId="1091" applyFont="1" applyAlignment="1">
      <alignment horizontal="center"/>
    </xf>
    <xf numFmtId="3" fontId="69" fillId="36" borderId="78" xfId="0" applyNumberFormat="1" applyFont="1" applyFill="1" applyBorder="1" applyAlignment="1">
      <alignment horizontal="center" vertical="center" wrapText="1"/>
    </xf>
    <xf numFmtId="3" fontId="69" fillId="36" borderId="55" xfId="0" applyNumberFormat="1" applyFont="1" applyFill="1" applyBorder="1" applyAlignment="1">
      <alignment horizontal="center" vertical="center" wrapText="1"/>
    </xf>
    <xf numFmtId="3" fontId="69" fillId="36" borderId="79" xfId="0" applyNumberFormat="1" applyFont="1" applyFill="1" applyBorder="1" applyAlignment="1">
      <alignment horizontal="center" vertical="center" wrapText="1"/>
    </xf>
    <xf numFmtId="3" fontId="92" fillId="36" borderId="59" xfId="0" applyNumberFormat="1" applyFont="1" applyFill="1" applyBorder="1" applyAlignment="1">
      <alignment horizontal="center" vertical="center" wrapText="1"/>
    </xf>
    <xf numFmtId="0" fontId="92" fillId="36" borderId="59" xfId="0" applyFont="1" applyFill="1" applyBorder="1" applyAlignment="1">
      <alignment horizontal="center" vertical="center" wrapText="1"/>
    </xf>
    <xf numFmtId="3" fontId="92" fillId="36" borderId="21" xfId="0" applyNumberFormat="1" applyFont="1" applyFill="1" applyBorder="1" applyAlignment="1">
      <alignment horizontal="center" vertical="center" wrapText="1"/>
    </xf>
    <xf numFmtId="3" fontId="92" fillId="36" borderId="61" xfId="0" applyNumberFormat="1" applyFont="1" applyFill="1" applyBorder="1" applyAlignment="1">
      <alignment horizontal="center" vertical="center" wrapText="1"/>
    </xf>
    <xf numFmtId="3" fontId="92" fillId="36" borderId="62" xfId="0" applyNumberFormat="1" applyFont="1" applyFill="1" applyBorder="1" applyAlignment="1">
      <alignment horizontal="center" vertical="center" wrapText="1"/>
    </xf>
    <xf numFmtId="3" fontId="92" fillId="36" borderId="49" xfId="0" applyNumberFormat="1" applyFont="1" applyFill="1" applyBorder="1" applyAlignment="1">
      <alignment horizontal="center" vertical="center" wrapText="1"/>
    </xf>
    <xf numFmtId="0" fontId="92" fillId="36" borderId="27" xfId="0" applyFont="1" applyFill="1" applyBorder="1" applyAlignment="1">
      <alignment horizontal="center" vertical="center" wrapText="1"/>
    </xf>
    <xf numFmtId="0" fontId="92" fillId="36" borderId="21" xfId="0" applyFont="1" applyFill="1" applyBorder="1" applyAlignment="1">
      <alignment horizontal="center" vertical="center" wrapText="1"/>
    </xf>
    <xf numFmtId="3" fontId="92" fillId="36" borderId="25" xfId="0" applyNumberFormat="1" applyFont="1" applyFill="1" applyBorder="1" applyAlignment="1">
      <alignment horizontal="center" vertical="center"/>
    </xf>
    <xf numFmtId="0" fontId="92" fillId="36" borderId="26" xfId="0" applyFont="1" applyFill="1" applyBorder="1" applyAlignment="1">
      <alignment horizontal="center" vertical="center"/>
    </xf>
    <xf numFmtId="0" fontId="92" fillId="36" borderId="48" xfId="0" applyFont="1" applyFill="1" applyBorder="1" applyAlignment="1">
      <alignment horizontal="center" vertical="center"/>
    </xf>
    <xf numFmtId="0" fontId="92" fillId="36" borderId="51" xfId="0" applyFont="1" applyFill="1" applyBorder="1" applyAlignment="1">
      <alignment horizontal="center" vertical="center"/>
    </xf>
    <xf numFmtId="0" fontId="92" fillId="36" borderId="0" xfId="0" applyFont="1" applyFill="1" applyAlignment="1">
      <alignment horizontal="center" vertical="center"/>
    </xf>
    <xf numFmtId="0" fontId="92" fillId="36" borderId="52" xfId="0" applyFont="1" applyFill="1" applyBorder="1" applyAlignment="1">
      <alignment horizontal="center" vertical="center"/>
    </xf>
    <xf numFmtId="0" fontId="69" fillId="36" borderId="77" xfId="0" applyFont="1" applyFill="1" applyBorder="1" applyAlignment="1">
      <alignment horizontal="center" vertical="center"/>
    </xf>
    <xf numFmtId="0" fontId="92" fillId="36" borderId="67" xfId="0" applyFont="1" applyFill="1" applyBorder="1" applyAlignment="1">
      <alignment horizontal="center" vertical="center"/>
    </xf>
    <xf numFmtId="0" fontId="92" fillId="36" borderId="68" xfId="0" applyFont="1" applyFill="1" applyBorder="1" applyAlignment="1">
      <alignment horizontal="center" vertical="center"/>
    </xf>
    <xf numFmtId="3" fontId="69" fillId="36" borderId="34" xfId="0" applyNumberFormat="1" applyFont="1" applyFill="1" applyBorder="1" applyAlignment="1">
      <alignment horizontal="center" vertical="center"/>
    </xf>
    <xf numFmtId="3" fontId="69" fillId="36" borderId="24" xfId="0" applyNumberFormat="1" applyFont="1" applyFill="1" applyBorder="1" applyAlignment="1">
      <alignment horizontal="center" vertical="center"/>
    </xf>
    <xf numFmtId="3" fontId="69" fillId="36" borderId="35" xfId="0" applyNumberFormat="1" applyFont="1" applyFill="1" applyBorder="1" applyAlignment="1">
      <alignment horizontal="center" vertical="center"/>
    </xf>
    <xf numFmtId="3" fontId="92" fillId="36" borderId="75" xfId="0" applyNumberFormat="1" applyFont="1" applyFill="1" applyBorder="1" applyAlignment="1">
      <alignment horizontal="center" vertical="center"/>
    </xf>
    <xf numFmtId="0" fontId="92" fillId="36" borderId="76" xfId="0" applyFont="1" applyFill="1" applyBorder="1" applyAlignment="1">
      <alignment horizontal="center" vertical="center"/>
    </xf>
    <xf numFmtId="3" fontId="92" fillId="36" borderId="49" xfId="0" applyNumberFormat="1" applyFont="1" applyFill="1" applyBorder="1" applyAlignment="1">
      <alignment horizontal="center" vertical="center"/>
    </xf>
    <xf numFmtId="3" fontId="92" fillId="36" borderId="50" xfId="0" applyNumberFormat="1" applyFont="1" applyFill="1" applyBorder="1" applyAlignment="1">
      <alignment horizontal="center" vertical="center"/>
    </xf>
    <xf numFmtId="3" fontId="92" fillId="36" borderId="27" xfId="0" applyNumberFormat="1" applyFont="1" applyFill="1" applyBorder="1" applyAlignment="1">
      <alignment horizontal="center" vertical="center"/>
    </xf>
    <xf numFmtId="3" fontId="92" fillId="36" borderId="50" xfId="0" applyNumberFormat="1" applyFont="1" applyFill="1" applyBorder="1" applyAlignment="1">
      <alignment horizontal="center" vertical="center" wrapText="1"/>
    </xf>
    <xf numFmtId="3" fontId="92" fillId="36" borderId="27" xfId="0" applyNumberFormat="1" applyFont="1" applyFill="1" applyBorder="1" applyAlignment="1">
      <alignment horizontal="center" vertical="center" wrapText="1"/>
    </xf>
    <xf numFmtId="0" fontId="74" fillId="36" borderId="0" xfId="0" applyFont="1" applyFill="1" applyAlignment="1">
      <alignment horizontal="center" vertical="center"/>
    </xf>
    <xf numFmtId="0" fontId="58" fillId="36" borderId="0" xfId="0" applyFont="1" applyFill="1" applyAlignment="1">
      <alignment vertical="center"/>
    </xf>
    <xf numFmtId="10" fontId="62" fillId="36" borderId="0" xfId="0" applyNumberFormat="1" applyFont="1" applyFill="1" applyAlignment="1">
      <alignment horizontal="center" vertical="center"/>
    </xf>
    <xf numFmtId="0" fontId="61" fillId="36" borderId="0" xfId="0" applyFont="1" applyFill="1" applyAlignment="1">
      <alignment vertical="center"/>
    </xf>
    <xf numFmtId="0" fontId="63" fillId="36" borderId="0" xfId="0" applyFont="1" applyFill="1" applyAlignment="1">
      <alignment horizontal="center" vertical="center"/>
    </xf>
    <xf numFmtId="0" fontId="58" fillId="36" borderId="30" xfId="0" applyFont="1" applyFill="1" applyBorder="1" applyAlignment="1">
      <alignment vertical="center"/>
    </xf>
    <xf numFmtId="164" fontId="69" fillId="0" borderId="103" xfId="0" applyNumberFormat="1" applyFont="1" applyBorder="1" applyAlignment="1">
      <alignment horizontal="center" vertical="center"/>
    </xf>
    <xf numFmtId="0" fontId="58" fillId="0" borderId="104" xfId="0" applyFont="1" applyBorder="1" applyAlignment="1">
      <alignment vertical="center"/>
    </xf>
    <xf numFmtId="10" fontId="69" fillId="0" borderId="105" xfId="0" applyNumberFormat="1" applyFont="1" applyBorder="1" applyAlignment="1">
      <alignment horizontal="center" vertical="center"/>
    </xf>
    <xf numFmtId="10" fontId="58" fillId="0" borderId="106" xfId="0" applyNumberFormat="1" applyFont="1" applyBorder="1" applyAlignment="1">
      <alignment vertical="center"/>
    </xf>
    <xf numFmtId="1" fontId="58" fillId="0" borderId="91" xfId="0" applyNumberFormat="1" applyFont="1" applyBorder="1" applyAlignment="1">
      <alignment horizontal="left" vertical="center"/>
    </xf>
    <xf numFmtId="0" fontId="58" fillId="0" borderId="92" xfId="0" applyFont="1" applyBorder="1" applyAlignment="1">
      <alignment vertical="center"/>
    </xf>
    <xf numFmtId="0" fontId="58" fillId="0" borderId="93" xfId="0" applyFont="1" applyBorder="1" applyAlignment="1">
      <alignment vertical="center"/>
    </xf>
    <xf numFmtId="1" fontId="58" fillId="0" borderId="92" xfId="0" applyNumberFormat="1" applyFont="1" applyBorder="1" applyAlignment="1">
      <alignment horizontal="left" vertical="center"/>
    </xf>
    <xf numFmtId="1" fontId="58" fillId="0" borderId="93" xfId="0" applyNumberFormat="1" applyFont="1" applyBorder="1" applyAlignment="1">
      <alignment horizontal="left" vertical="center"/>
    </xf>
    <xf numFmtId="1" fontId="57" fillId="0" borderId="91" xfId="0" applyNumberFormat="1" applyFont="1" applyBorder="1" applyAlignment="1">
      <alignment horizontal="left" vertical="center"/>
    </xf>
    <xf numFmtId="40" fontId="69" fillId="0" borderId="105" xfId="0" applyNumberFormat="1" applyFont="1" applyBorder="1" applyAlignment="1">
      <alignment horizontal="center" vertical="center"/>
    </xf>
    <xf numFmtId="0" fontId="58" fillId="0" borderId="106" xfId="0" applyFont="1" applyBorder="1" applyAlignment="1">
      <alignment vertical="center"/>
    </xf>
    <xf numFmtId="0" fontId="63" fillId="0" borderId="107" xfId="0" applyFont="1" applyBorder="1" applyAlignment="1">
      <alignment horizontal="center" vertical="center" wrapText="1"/>
    </xf>
    <xf numFmtId="0" fontId="58" fillId="0" borderId="108" xfId="0" applyFont="1" applyBorder="1" applyAlignment="1">
      <alignment vertical="center"/>
    </xf>
    <xf numFmtId="0" fontId="58" fillId="0" borderId="109" xfId="0" applyFont="1" applyBorder="1" applyAlignment="1">
      <alignment vertical="center"/>
    </xf>
    <xf numFmtId="0" fontId="58" fillId="0" borderId="40" xfId="0" applyFont="1" applyBorder="1" applyAlignment="1">
      <alignment vertical="center"/>
    </xf>
    <xf numFmtId="0" fontId="58" fillId="0" borderId="0" xfId="0" applyFont="1" applyAlignment="1">
      <alignment vertical="center"/>
    </xf>
    <xf numFmtId="0" fontId="58" fillId="0" borderId="110" xfId="0" applyFont="1" applyBorder="1" applyAlignment="1">
      <alignment vertical="center"/>
    </xf>
    <xf numFmtId="1" fontId="60" fillId="36" borderId="40" xfId="0" applyNumberFormat="1" applyFont="1" applyFill="1" applyBorder="1" applyAlignment="1">
      <alignment horizontal="left" vertical="center"/>
    </xf>
    <xf numFmtId="1" fontId="60" fillId="36" borderId="0" xfId="0" applyNumberFormat="1" applyFont="1" applyFill="1" applyAlignment="1">
      <alignment horizontal="left" vertical="center"/>
    </xf>
    <xf numFmtId="1" fontId="60" fillId="36" borderId="29" xfId="0" applyNumberFormat="1" applyFont="1" applyFill="1" applyBorder="1" applyAlignment="1">
      <alignment horizontal="left" vertical="center"/>
    </xf>
    <xf numFmtId="0" fontId="60" fillId="0" borderId="101" xfId="0" applyFont="1" applyBorder="1" applyAlignment="1">
      <alignment horizontal="center" vertical="center"/>
    </xf>
    <xf numFmtId="0" fontId="58" fillId="0" borderId="102" xfId="0" applyFont="1" applyBorder="1" applyAlignment="1">
      <alignment vertical="center"/>
    </xf>
    <xf numFmtId="1" fontId="58" fillId="36" borderId="41" xfId="0" applyNumberFormat="1" applyFont="1" applyFill="1" applyBorder="1" applyAlignment="1">
      <alignment horizontal="left" vertical="center"/>
    </xf>
    <xf numFmtId="1" fontId="58" fillId="36" borderId="30" xfId="0" applyNumberFormat="1" applyFont="1" applyFill="1" applyBorder="1" applyAlignment="1">
      <alignment horizontal="left" vertical="center"/>
    </xf>
    <xf numFmtId="0" fontId="58" fillId="36" borderId="31" xfId="0" applyFont="1" applyFill="1" applyBorder="1" applyAlignment="1">
      <alignment vertical="center"/>
    </xf>
    <xf numFmtId="1" fontId="58" fillId="40" borderId="91" xfId="0" applyNumberFormat="1" applyFont="1" applyFill="1" applyBorder="1" applyAlignment="1">
      <alignment horizontal="left" vertical="center"/>
    </xf>
    <xf numFmtId="0" fontId="58" fillId="40" borderId="92" xfId="0" applyFont="1" applyFill="1" applyBorder="1" applyAlignment="1">
      <alignment vertical="center"/>
    </xf>
    <xf numFmtId="0" fontId="58" fillId="40" borderId="93" xfId="0" applyFont="1" applyFill="1" applyBorder="1" applyAlignment="1">
      <alignment vertical="center"/>
    </xf>
    <xf numFmtId="1" fontId="66" fillId="40" borderId="91" xfId="0" applyNumberFormat="1" applyFont="1" applyFill="1" applyBorder="1" applyAlignment="1">
      <alignment horizontal="left" vertical="center"/>
    </xf>
    <xf numFmtId="0" fontId="66" fillId="40" borderId="92" xfId="0" applyFont="1" applyFill="1" applyBorder="1" applyAlignment="1">
      <alignment vertical="center"/>
    </xf>
    <xf numFmtId="0" fontId="66" fillId="40" borderId="93" xfId="0" applyFont="1" applyFill="1" applyBorder="1" applyAlignment="1">
      <alignment vertical="center"/>
    </xf>
    <xf numFmtId="1" fontId="69" fillId="36" borderId="39" xfId="0" applyNumberFormat="1" applyFont="1" applyFill="1" applyBorder="1" applyAlignment="1">
      <alignment horizontal="center" vertical="center"/>
    </xf>
    <xf numFmtId="1" fontId="69" fillId="36" borderId="32" xfId="0" applyNumberFormat="1" applyFont="1" applyFill="1" applyBorder="1" applyAlignment="1">
      <alignment horizontal="center" vertical="center"/>
    </xf>
    <xf numFmtId="1" fontId="69" fillId="36" borderId="33" xfId="0" applyNumberFormat="1" applyFont="1" applyFill="1" applyBorder="1" applyAlignment="1">
      <alignment horizontal="center" vertical="center"/>
    </xf>
    <xf numFmtId="0" fontId="60" fillId="0" borderId="94" xfId="0" applyFont="1" applyBorder="1" applyAlignment="1">
      <alignment horizontal="center" vertical="center"/>
    </xf>
    <xf numFmtId="0" fontId="58" fillId="0" borderId="32" xfId="0" applyFont="1" applyBorder="1" applyAlignment="1">
      <alignment vertical="center"/>
    </xf>
    <xf numFmtId="0" fontId="58" fillId="0" borderId="95" xfId="0" applyFont="1" applyBorder="1" applyAlignment="1">
      <alignment vertical="center"/>
    </xf>
    <xf numFmtId="0" fontId="58" fillId="0" borderId="96" xfId="0" applyFont="1" applyBorder="1" applyAlignment="1">
      <alignment vertical="center"/>
    </xf>
    <xf numFmtId="0" fontId="58" fillId="0" borderId="30" xfId="0" applyFont="1" applyBorder="1" applyAlignment="1">
      <alignment vertical="center"/>
    </xf>
    <xf numFmtId="0" fontId="58" fillId="0" borderId="97" xfId="0" applyFont="1" applyBorder="1" applyAlignment="1">
      <alignment vertical="center"/>
    </xf>
    <xf numFmtId="1" fontId="57" fillId="0" borderId="98" xfId="0" applyNumberFormat="1" applyFont="1" applyBorder="1" applyAlignment="1">
      <alignment horizontal="left" vertical="center"/>
    </xf>
    <xf numFmtId="0" fontId="58" fillId="0" borderId="99" xfId="0" applyFont="1" applyBorder="1" applyAlignment="1">
      <alignment vertical="center"/>
    </xf>
    <xf numFmtId="0" fontId="58" fillId="0" borderId="100" xfId="0" applyFont="1" applyBorder="1" applyAlignment="1">
      <alignment vertical="center"/>
    </xf>
    <xf numFmtId="0" fontId="69" fillId="36" borderId="40" xfId="0" applyFont="1" applyFill="1" applyBorder="1" applyAlignment="1">
      <alignment horizontal="center" vertical="center"/>
    </xf>
    <xf numFmtId="0" fontId="69" fillId="36" borderId="0" xfId="0" applyFont="1" applyFill="1" applyAlignment="1">
      <alignment horizontal="center" vertical="center"/>
    </xf>
    <xf numFmtId="0" fontId="69" fillId="36" borderId="29" xfId="0" applyFont="1" applyFill="1" applyBorder="1" applyAlignment="1">
      <alignment horizontal="center" vertical="center"/>
    </xf>
    <xf numFmtId="0" fontId="69" fillId="36" borderId="41" xfId="0" applyFont="1" applyFill="1" applyBorder="1" applyAlignment="1">
      <alignment horizontal="center" vertical="center"/>
    </xf>
    <xf numFmtId="0" fontId="69" fillId="36" borderId="30" xfId="0" applyFont="1" applyFill="1" applyBorder="1" applyAlignment="1">
      <alignment horizontal="center" vertical="center"/>
    </xf>
    <xf numFmtId="0" fontId="69" fillId="36" borderId="31" xfId="0" applyFont="1" applyFill="1" applyBorder="1" applyAlignment="1">
      <alignment horizontal="center" vertical="center"/>
    </xf>
    <xf numFmtId="1" fontId="57" fillId="36" borderId="39" xfId="0" applyNumberFormat="1" applyFont="1" applyFill="1" applyBorder="1" applyAlignment="1">
      <alignment horizontal="left" vertical="center" wrapText="1"/>
    </xf>
    <xf numFmtId="1" fontId="57" fillId="36" borderId="32" xfId="0" applyNumberFormat="1" applyFont="1" applyFill="1" applyBorder="1" applyAlignment="1">
      <alignment horizontal="left" vertical="center" wrapText="1"/>
    </xf>
    <xf numFmtId="1" fontId="57" fillId="36" borderId="33" xfId="0" applyNumberFormat="1" applyFont="1" applyFill="1" applyBorder="1" applyAlignment="1">
      <alignment horizontal="left" vertical="center" wrapText="1"/>
    </xf>
    <xf numFmtId="1" fontId="57" fillId="36" borderId="41" xfId="0" applyNumberFormat="1" applyFont="1" applyFill="1" applyBorder="1" applyAlignment="1">
      <alignment horizontal="left" vertical="center" wrapText="1"/>
    </xf>
    <xf numFmtId="1" fontId="57" fillId="36" borderId="30" xfId="0" applyNumberFormat="1" applyFont="1" applyFill="1" applyBorder="1" applyAlignment="1">
      <alignment horizontal="left" vertical="center" wrapText="1"/>
    </xf>
    <xf numFmtId="1" fontId="57" fillId="36" borderId="31" xfId="0" applyNumberFormat="1" applyFont="1" applyFill="1" applyBorder="1" applyAlignment="1">
      <alignment horizontal="left" vertical="center" wrapText="1"/>
    </xf>
    <xf numFmtId="1" fontId="69" fillId="36" borderId="41" xfId="0" applyNumberFormat="1" applyFont="1" applyFill="1" applyBorder="1" applyAlignment="1">
      <alignment horizontal="center" vertical="center"/>
    </xf>
    <xf numFmtId="1" fontId="69" fillId="36" borderId="30" xfId="0" applyNumberFormat="1" applyFont="1" applyFill="1" applyBorder="1" applyAlignment="1">
      <alignment horizontal="center" vertical="center"/>
    </xf>
    <xf numFmtId="1" fontId="69" fillId="36" borderId="31" xfId="0" applyNumberFormat="1" applyFont="1" applyFill="1" applyBorder="1" applyAlignment="1">
      <alignment horizontal="center" vertical="center"/>
    </xf>
    <xf numFmtId="1" fontId="57" fillId="0" borderId="91" xfId="0" applyNumberFormat="1" applyFont="1" applyBorder="1" applyAlignment="1">
      <alignment horizontal="left"/>
    </xf>
    <xf numFmtId="0" fontId="58" fillId="0" borderId="92" xfId="0" applyFont="1" applyBorder="1"/>
    <xf numFmtId="0" fontId="58" fillId="0" borderId="93" xfId="0" applyFont="1" applyBorder="1"/>
    <xf numFmtId="1" fontId="69" fillId="36" borderId="39" xfId="0" applyNumberFormat="1" applyFont="1" applyFill="1" applyBorder="1" applyAlignment="1">
      <alignment horizontal="center"/>
    </xf>
    <xf numFmtId="1" fontId="69" fillId="36" borderId="32" xfId="0" applyNumberFormat="1" applyFont="1" applyFill="1" applyBorder="1" applyAlignment="1">
      <alignment horizontal="center"/>
    </xf>
    <xf numFmtId="1" fontId="69" fillId="36" borderId="33" xfId="0" applyNumberFormat="1" applyFont="1" applyFill="1" applyBorder="1" applyAlignment="1">
      <alignment horizontal="center"/>
    </xf>
    <xf numFmtId="0" fontId="58" fillId="0" borderId="102" xfId="0" applyFont="1" applyBorder="1"/>
    <xf numFmtId="0" fontId="58" fillId="0" borderId="32" xfId="0" applyFont="1" applyBorder="1"/>
    <xf numFmtId="0" fontId="58" fillId="0" borderId="95" xfId="0" applyFont="1" applyBorder="1"/>
    <xf numFmtId="0" fontId="58" fillId="0" borderId="96" xfId="0" applyFont="1" applyBorder="1"/>
    <xf numFmtId="0" fontId="58" fillId="0" borderId="30" xfId="0" applyFont="1" applyBorder="1"/>
    <xf numFmtId="0" fontId="58" fillId="0" borderId="97" xfId="0" applyFont="1" applyBorder="1"/>
    <xf numFmtId="1" fontId="57" fillId="0" borderId="98" xfId="0" applyNumberFormat="1" applyFont="1" applyBorder="1" applyAlignment="1">
      <alignment horizontal="left"/>
    </xf>
    <xf numFmtId="0" fontId="58" fillId="0" borderId="99" xfId="0" applyFont="1" applyBorder="1"/>
    <xf numFmtId="0" fontId="58" fillId="0" borderId="100" xfId="0" applyFont="1" applyBorder="1"/>
    <xf numFmtId="1" fontId="58" fillId="0" borderId="91" xfId="0" applyNumberFormat="1" applyFont="1" applyBorder="1" applyAlignment="1">
      <alignment horizontal="left"/>
    </xf>
    <xf numFmtId="1" fontId="69" fillId="36" borderId="41" xfId="0" applyNumberFormat="1" applyFont="1" applyFill="1" applyBorder="1" applyAlignment="1">
      <alignment horizontal="center"/>
    </xf>
    <xf numFmtId="1" fontId="69" fillId="36" borderId="30" xfId="0" applyNumberFormat="1" applyFont="1" applyFill="1" applyBorder="1" applyAlignment="1">
      <alignment horizontal="center"/>
    </xf>
    <xf numFmtId="1" fontId="69" fillId="36" borderId="31" xfId="0" applyNumberFormat="1" applyFont="1" applyFill="1" applyBorder="1" applyAlignment="1">
      <alignment horizontal="center"/>
    </xf>
    <xf numFmtId="1" fontId="60" fillId="36" borderId="40" xfId="0" applyNumberFormat="1" applyFont="1" applyFill="1" applyBorder="1" applyAlignment="1">
      <alignment horizontal="left"/>
    </xf>
    <xf numFmtId="1" fontId="60" fillId="36" borderId="0" xfId="0" applyNumberFormat="1" applyFont="1" applyFill="1" applyAlignment="1">
      <alignment horizontal="left"/>
    </xf>
    <xf numFmtId="1" fontId="60" fillId="36" borderId="29" xfId="0" applyNumberFormat="1" applyFont="1" applyFill="1" applyBorder="1" applyAlignment="1">
      <alignment horizontal="left"/>
    </xf>
    <xf numFmtId="1" fontId="58" fillId="36" borderId="41" xfId="0" applyNumberFormat="1" applyFont="1" applyFill="1" applyBorder="1" applyAlignment="1">
      <alignment horizontal="left"/>
    </xf>
    <xf numFmtId="0" fontId="58" fillId="36" borderId="30" xfId="0" applyFont="1" applyFill="1" applyBorder="1"/>
    <xf numFmtId="1" fontId="58" fillId="36" borderId="30" xfId="0" applyNumberFormat="1" applyFont="1" applyFill="1" applyBorder="1" applyAlignment="1">
      <alignment horizontal="left"/>
    </xf>
    <xf numFmtId="0" fontId="58" fillId="36" borderId="31" xfId="0" applyFont="1" applyFill="1" applyBorder="1"/>
    <xf numFmtId="1" fontId="58" fillId="0" borderId="92" xfId="0" applyNumberFormat="1" applyFont="1" applyBorder="1" applyAlignment="1">
      <alignment horizontal="left"/>
    </xf>
    <xf numFmtId="1" fontId="58" fillId="0" borderId="93" xfId="0" applyNumberFormat="1" applyFont="1" applyBorder="1" applyAlignment="1">
      <alignment horizontal="left"/>
    </xf>
    <xf numFmtId="1" fontId="58" fillId="40" borderId="91" xfId="0" applyNumberFormat="1" applyFont="1" applyFill="1" applyBorder="1" applyAlignment="1">
      <alignment horizontal="left"/>
    </xf>
    <xf numFmtId="0" fontId="58" fillId="40" borderId="92" xfId="0" applyFont="1" applyFill="1" applyBorder="1"/>
    <xf numFmtId="0" fontId="58" fillId="40" borderId="93" xfId="0" applyFont="1" applyFill="1" applyBorder="1"/>
    <xf numFmtId="1" fontId="66" fillId="40" borderId="91" xfId="0" applyNumberFormat="1" applyFont="1" applyFill="1" applyBorder="1" applyAlignment="1">
      <alignment horizontal="left"/>
    </xf>
    <xf numFmtId="0" fontId="66" fillId="40" borderId="92" xfId="0" applyFont="1" applyFill="1" applyBorder="1"/>
    <xf numFmtId="0" fontId="66" fillId="40" borderId="93" xfId="0" applyFont="1" applyFill="1" applyBorder="1"/>
    <xf numFmtId="0" fontId="58" fillId="0" borderId="104" xfId="0" applyFont="1" applyBorder="1"/>
    <xf numFmtId="10" fontId="58" fillId="0" borderId="106" xfId="0" applyNumberFormat="1" applyFont="1" applyBorder="1"/>
    <xf numFmtId="0" fontId="58" fillId="0" borderId="106" xfId="0" applyFont="1" applyBorder="1"/>
    <xf numFmtId="0" fontId="58" fillId="36" borderId="0" xfId="0" applyFont="1" applyFill="1"/>
    <xf numFmtId="0" fontId="61" fillId="36" borderId="0" xfId="0" applyFont="1" applyFill="1"/>
    <xf numFmtId="0" fontId="58" fillId="0" borderId="108" xfId="0" applyFont="1" applyBorder="1"/>
    <xf numFmtId="0" fontId="58" fillId="0" borderId="109" xfId="0" applyFont="1" applyBorder="1"/>
    <xf numFmtId="0" fontId="58" fillId="0" borderId="40" xfId="0" applyFont="1" applyBorder="1"/>
    <xf numFmtId="0" fontId="58" fillId="0" borderId="0" xfId="0" applyFont="1"/>
    <xf numFmtId="0" fontId="58" fillId="0" borderId="110" xfId="0" applyFont="1" applyBorder="1"/>
    <xf numFmtId="0" fontId="53" fillId="38" borderId="40" xfId="0" applyFont="1" applyFill="1" applyBorder="1" applyAlignment="1">
      <alignment horizontal="left" vertical="top" wrapText="1"/>
    </xf>
    <xf numFmtId="0" fontId="54" fillId="38" borderId="0" xfId="0" applyFont="1" applyFill="1" applyAlignment="1">
      <alignment horizontal="left" vertical="top" wrapText="1"/>
    </xf>
    <xf numFmtId="0" fontId="0" fillId="0" borderId="0" xfId="0"/>
    <xf numFmtId="0" fontId="0" fillId="0" borderId="29" xfId="0" applyBorder="1"/>
    <xf numFmtId="0" fontId="52" fillId="38" borderId="39" xfId="0" applyFont="1" applyFill="1" applyBorder="1" applyAlignment="1">
      <alignment horizontal="center" wrapText="1"/>
    </xf>
    <xf numFmtId="0" fontId="0" fillId="0" borderId="32" xfId="0" applyBorder="1"/>
    <xf numFmtId="0" fontId="0" fillId="0" borderId="33" xfId="0" applyBorder="1"/>
    <xf numFmtId="4" fontId="84" fillId="0" borderId="105" xfId="0" applyNumberFormat="1" applyFont="1" applyBorder="1" applyAlignment="1">
      <alignment horizontal="right" vertical="center" readingOrder="1"/>
    </xf>
    <xf numFmtId="4" fontId="83" fillId="42" borderId="112" xfId="0" applyNumberFormat="1" applyFont="1" applyFill="1" applyBorder="1" applyAlignment="1">
      <alignment horizontal="right" vertical="center" readingOrder="1"/>
    </xf>
    <xf numFmtId="4" fontId="83" fillId="42" borderId="0" xfId="0" applyNumberFormat="1" applyFont="1" applyFill="1" applyAlignment="1">
      <alignment horizontal="right" vertical="center" readingOrder="1"/>
    </xf>
    <xf numFmtId="4" fontId="83" fillId="42" borderId="52" xfId="0" applyNumberFormat="1" applyFont="1" applyFill="1" applyBorder="1" applyAlignment="1">
      <alignment horizontal="right" vertical="center" readingOrder="1"/>
    </xf>
    <xf numFmtId="0" fontId="85" fillId="42" borderId="44" xfId="0" applyFont="1" applyFill="1" applyBorder="1" applyAlignment="1">
      <alignment horizontal="left" vertical="top" readingOrder="1"/>
    </xf>
    <xf numFmtId="0" fontId="85" fillId="42" borderId="140" xfId="0" applyFont="1" applyFill="1" applyBorder="1" applyAlignment="1">
      <alignment horizontal="left" vertical="top" readingOrder="1"/>
    </xf>
    <xf numFmtId="0" fontId="82" fillId="42" borderId="47" xfId="0" applyFont="1" applyFill="1" applyBorder="1" applyAlignment="1">
      <alignment horizontal="right" vertical="center" readingOrder="1"/>
    </xf>
    <xf numFmtId="4" fontId="83" fillId="42" borderId="47" xfId="0" applyNumberFormat="1" applyFont="1" applyFill="1" applyBorder="1" applyAlignment="1">
      <alignment horizontal="right" vertical="center" readingOrder="1"/>
    </xf>
    <xf numFmtId="4" fontId="83" fillId="42" borderId="46" xfId="0" applyNumberFormat="1" applyFont="1" applyFill="1" applyBorder="1" applyAlignment="1">
      <alignment horizontal="right" vertical="center" readingOrder="1"/>
    </xf>
    <xf numFmtId="0" fontId="84" fillId="42" borderId="85" xfId="0" applyFont="1" applyFill="1" applyBorder="1" applyAlignment="1">
      <alignment horizontal="left" vertical="center" wrapText="1" readingOrder="1"/>
    </xf>
    <xf numFmtId="0" fontId="84" fillId="42" borderId="85" xfId="0" applyFont="1" applyFill="1" applyBorder="1" applyAlignment="1">
      <alignment horizontal="center" vertical="center" readingOrder="1"/>
    </xf>
    <xf numFmtId="184" fontId="84" fillId="42" borderId="85" xfId="0" applyNumberFormat="1" applyFont="1" applyFill="1" applyBorder="1" applyAlignment="1">
      <alignment horizontal="center" vertical="center" readingOrder="1"/>
    </xf>
    <xf numFmtId="4" fontId="84" fillId="0" borderId="85" xfId="0" applyNumberFormat="1" applyFont="1" applyBorder="1" applyAlignment="1">
      <alignment horizontal="right" vertical="center" readingOrder="1"/>
    </xf>
    <xf numFmtId="0" fontId="85" fillId="42" borderId="136" xfId="0" applyFont="1" applyFill="1" applyBorder="1" applyAlignment="1">
      <alignment horizontal="left" vertical="top" readingOrder="1"/>
    </xf>
    <xf numFmtId="0" fontId="85" fillId="42" borderId="91" xfId="0" applyFont="1" applyFill="1" applyBorder="1" applyAlignment="1">
      <alignment horizontal="left" vertical="top" readingOrder="1"/>
    </xf>
    <xf numFmtId="0" fontId="82" fillId="42" borderId="92" xfId="0" applyFont="1" applyFill="1" applyBorder="1" applyAlignment="1">
      <alignment horizontal="right" vertical="center" readingOrder="1"/>
    </xf>
    <xf numFmtId="4" fontId="83" fillId="42" borderId="93" xfId="0" applyNumberFormat="1" applyFont="1" applyFill="1" applyBorder="1" applyAlignment="1">
      <alignment horizontal="right" vertical="center" readingOrder="1"/>
    </xf>
    <xf numFmtId="4" fontId="83" fillId="42" borderId="137" xfId="0" applyNumberFormat="1" applyFont="1" applyFill="1" applyBorder="1" applyAlignment="1">
      <alignment horizontal="right" vertical="center" readingOrder="1"/>
    </xf>
    <xf numFmtId="0" fontId="85" fillId="42" borderId="138" xfId="0" applyFont="1" applyFill="1" applyBorder="1" applyAlignment="1">
      <alignment horizontal="left" vertical="top" readingOrder="1"/>
    </xf>
    <xf numFmtId="0" fontId="85" fillId="42" borderId="105" xfId="0" applyFont="1" applyFill="1" applyBorder="1" applyAlignment="1">
      <alignment horizontal="left" vertical="top" readingOrder="1"/>
    </xf>
    <xf numFmtId="0" fontId="85" fillId="42" borderId="139" xfId="0" applyFont="1" applyFill="1" applyBorder="1" applyAlignment="1">
      <alignment horizontal="left" vertical="top" readingOrder="1"/>
    </xf>
    <xf numFmtId="0" fontId="85" fillId="42" borderId="51" xfId="0" applyFont="1" applyFill="1" applyBorder="1" applyAlignment="1">
      <alignment horizontal="left" vertical="top" readingOrder="1"/>
    </xf>
    <xf numFmtId="0" fontId="85" fillId="42" borderId="112" xfId="0" applyFont="1" applyFill="1" applyBorder="1" applyAlignment="1">
      <alignment horizontal="left" vertical="top" readingOrder="1"/>
    </xf>
    <xf numFmtId="0" fontId="82" fillId="42" borderId="0" xfId="0" applyFont="1" applyFill="1" applyAlignment="1">
      <alignment horizontal="right" vertical="center" readingOrder="1"/>
    </xf>
    <xf numFmtId="4" fontId="83" fillId="42" borderId="110" xfId="0" applyNumberFormat="1" applyFont="1" applyFill="1" applyBorder="1" applyAlignment="1">
      <alignment horizontal="right" vertical="center" readingOrder="1"/>
    </xf>
    <xf numFmtId="4" fontId="82" fillId="42" borderId="0" xfId="0" applyNumberFormat="1" applyFont="1" applyFill="1" applyAlignment="1">
      <alignment horizontal="center" vertical="center" readingOrder="1"/>
    </xf>
    <xf numFmtId="0" fontId="82" fillId="0" borderId="0" xfId="0" applyFont="1" applyAlignment="1">
      <alignment horizontal="right" vertical="center" readingOrder="1"/>
    </xf>
    <xf numFmtId="0" fontId="84" fillId="42" borderId="106" xfId="0" applyFont="1" applyFill="1" applyBorder="1" applyAlignment="1">
      <alignment horizontal="left" vertical="center" wrapText="1" readingOrder="1"/>
    </xf>
    <xf numFmtId="0" fontId="84" fillId="42" borderId="106" xfId="0" applyFont="1" applyFill="1" applyBorder="1" applyAlignment="1">
      <alignment horizontal="center" vertical="center" readingOrder="1"/>
    </xf>
    <xf numFmtId="184" fontId="84" fillId="42" borderId="106" xfId="0" applyNumberFormat="1" applyFont="1" applyFill="1" applyBorder="1" applyAlignment="1">
      <alignment horizontal="center" vertical="center" readingOrder="1"/>
    </xf>
    <xf numFmtId="4" fontId="84" fillId="0" borderId="106" xfId="0" applyNumberFormat="1" applyFont="1" applyBorder="1" applyAlignment="1">
      <alignment horizontal="right" vertical="center" readingOrder="1"/>
    </xf>
    <xf numFmtId="0" fontId="82" fillId="42" borderId="128" xfId="0" applyFont="1" applyFill="1" applyBorder="1" applyAlignment="1">
      <alignment horizontal="left" vertical="center" readingOrder="1"/>
    </xf>
    <xf numFmtId="0" fontId="78" fillId="42" borderId="128" xfId="0" applyFont="1" applyFill="1" applyBorder="1" applyAlignment="1">
      <alignment horizontal="right" vertical="center" readingOrder="1"/>
    </xf>
    <xf numFmtId="0" fontId="78" fillId="42" borderId="128" xfId="0" applyFont="1" applyFill="1" applyBorder="1" applyAlignment="1">
      <alignment horizontal="right" vertical="center" wrapText="1" readingOrder="1"/>
    </xf>
    <xf numFmtId="0" fontId="82" fillId="42" borderId="92" xfId="0" applyFont="1" applyFill="1" applyBorder="1" applyAlignment="1">
      <alignment horizontal="left" vertical="center" readingOrder="1"/>
    </xf>
    <xf numFmtId="0" fontId="82" fillId="42" borderId="92" xfId="0" applyFont="1" applyFill="1" applyBorder="1" applyAlignment="1">
      <alignment horizontal="left" vertical="center" wrapText="1" readingOrder="1"/>
    </xf>
    <xf numFmtId="0" fontId="83" fillId="42" borderId="108" xfId="0" applyFont="1" applyFill="1" applyBorder="1" applyAlignment="1">
      <alignment horizontal="right" vertical="center" readingOrder="1"/>
    </xf>
    <xf numFmtId="0" fontId="83" fillId="42" borderId="108" xfId="0" applyFont="1" applyFill="1" applyBorder="1" applyAlignment="1">
      <alignment horizontal="left" vertical="center" readingOrder="1"/>
    </xf>
    <xf numFmtId="0" fontId="83" fillId="42" borderId="99" xfId="0" applyFont="1" applyFill="1" applyBorder="1" applyAlignment="1">
      <alignment horizontal="right" vertical="center" readingOrder="1"/>
    </xf>
    <xf numFmtId="169" fontId="83" fillId="42" borderId="99" xfId="0" applyNumberFormat="1" applyFont="1" applyFill="1" applyBorder="1" applyAlignment="1">
      <alignment horizontal="left" vertical="center" readingOrder="1"/>
    </xf>
    <xf numFmtId="0" fontId="82" fillId="42" borderId="134" xfId="0" applyFont="1" applyFill="1" applyBorder="1" applyAlignment="1">
      <alignment horizontal="center" vertical="center" readingOrder="1"/>
    </xf>
    <xf numFmtId="0" fontId="82" fillId="42" borderId="82" xfId="0" applyFont="1" applyFill="1" applyBorder="1" applyAlignment="1">
      <alignment horizontal="center" vertical="center" readingOrder="1"/>
    </xf>
    <xf numFmtId="0" fontId="82" fillId="42" borderId="82" xfId="0" applyFont="1" applyFill="1" applyBorder="1" applyAlignment="1">
      <alignment horizontal="center" vertical="center" wrapText="1" readingOrder="1"/>
    </xf>
    <xf numFmtId="0" fontId="82" fillId="0" borderId="82" xfId="0" applyFont="1" applyBorder="1" applyAlignment="1">
      <alignment horizontal="center" vertical="center" wrapText="1" readingOrder="1"/>
    </xf>
    <xf numFmtId="0" fontId="82" fillId="42" borderId="135" xfId="0" applyFont="1" applyFill="1" applyBorder="1" applyAlignment="1">
      <alignment horizontal="center" vertical="center" wrapText="1" readingOrder="1"/>
    </xf>
    <xf numFmtId="0" fontId="84" fillId="42" borderId="105" xfId="0" applyFont="1" applyFill="1" applyBorder="1" applyAlignment="1">
      <alignment horizontal="left" vertical="center" wrapText="1" readingOrder="1"/>
    </xf>
    <xf numFmtId="184" fontId="84" fillId="42" borderId="105" xfId="0" applyNumberFormat="1" applyFont="1" applyFill="1" applyBorder="1" applyAlignment="1">
      <alignment horizontal="center" vertical="center" readingOrder="1"/>
    </xf>
    <xf numFmtId="4" fontId="83" fillId="42" borderId="98" xfId="0" applyNumberFormat="1" applyFont="1" applyFill="1" applyBorder="1" applyAlignment="1">
      <alignment horizontal="right" vertical="center" readingOrder="1"/>
    </xf>
    <xf numFmtId="4" fontId="83" fillId="42" borderId="99" xfId="0" applyNumberFormat="1" applyFont="1" applyFill="1" applyBorder="1" applyAlignment="1">
      <alignment horizontal="right" vertical="center" readingOrder="1"/>
    </xf>
    <xf numFmtId="4" fontId="83" fillId="42" borderId="133" xfId="0" applyNumberFormat="1" applyFont="1" applyFill="1" applyBorder="1" applyAlignment="1">
      <alignment horizontal="right" vertical="center" readingOrder="1"/>
    </xf>
    <xf numFmtId="0" fontId="84" fillId="42" borderId="105" xfId="0" applyFont="1" applyFill="1" applyBorder="1" applyAlignment="1">
      <alignment horizontal="center" vertical="center" readingOrder="1"/>
    </xf>
    <xf numFmtId="4" fontId="83" fillId="42" borderId="105" xfId="0" applyNumberFormat="1" applyFont="1" applyFill="1" applyBorder="1" applyAlignment="1">
      <alignment horizontal="right" vertical="center" readingOrder="1"/>
    </xf>
    <xf numFmtId="4" fontId="83" fillId="42" borderId="139" xfId="0" applyNumberFormat="1" applyFont="1" applyFill="1" applyBorder="1" applyAlignment="1">
      <alignment horizontal="right" vertical="center" readingOrder="1"/>
    </xf>
    <xf numFmtId="0" fontId="78" fillId="42" borderId="128" xfId="0" applyFont="1" applyFill="1" applyBorder="1" applyAlignment="1">
      <alignment horizontal="left" vertical="center" readingOrder="1"/>
    </xf>
    <xf numFmtId="0" fontId="78" fillId="42" borderId="92" xfId="0" applyFont="1" applyFill="1" applyBorder="1" applyAlignment="1">
      <alignment horizontal="left" vertical="center" readingOrder="1"/>
    </xf>
    <xf numFmtId="0" fontId="78" fillId="42" borderId="92" xfId="0" applyFont="1" applyFill="1" applyBorder="1" applyAlignment="1">
      <alignment horizontal="left" vertical="center" wrapText="1" readingOrder="1"/>
    </xf>
    <xf numFmtId="0" fontId="79" fillId="42" borderId="108" xfId="0" applyFont="1" applyFill="1" applyBorder="1" applyAlignment="1">
      <alignment horizontal="right" vertical="center" readingOrder="1"/>
    </xf>
    <xf numFmtId="0" fontId="79" fillId="42" borderId="108" xfId="0" applyFont="1" applyFill="1" applyBorder="1" applyAlignment="1">
      <alignment horizontal="left" vertical="center" readingOrder="1"/>
    </xf>
    <xf numFmtId="0" fontId="79" fillId="42" borderId="99" xfId="0" applyFont="1" applyFill="1" applyBorder="1" applyAlignment="1">
      <alignment horizontal="right" vertical="center" readingOrder="1"/>
    </xf>
    <xf numFmtId="169" fontId="79" fillId="42" borderId="99" xfId="0" applyNumberFormat="1" applyFont="1" applyFill="1" applyBorder="1" applyAlignment="1">
      <alignment horizontal="left" vertical="center" readingOrder="1"/>
    </xf>
    <xf numFmtId="4" fontId="83" fillId="42" borderId="85" xfId="0" applyNumberFormat="1" applyFont="1" applyFill="1" applyBorder="1" applyAlignment="1">
      <alignment horizontal="right" vertical="center" readingOrder="1"/>
    </xf>
    <xf numFmtId="4" fontId="83" fillId="42" borderId="142" xfId="0" applyNumberFormat="1" applyFont="1" applyFill="1" applyBorder="1" applyAlignment="1">
      <alignment horizontal="right" vertical="center" readingOrder="1"/>
    </xf>
    <xf numFmtId="0" fontId="84" fillId="42" borderId="82" xfId="0" applyFont="1" applyFill="1" applyBorder="1" applyAlignment="1">
      <alignment horizontal="left" vertical="center" wrapText="1" readingOrder="1"/>
    </xf>
    <xf numFmtId="0" fontId="84" fillId="42" borderId="82" xfId="0" applyFont="1" applyFill="1" applyBorder="1" applyAlignment="1">
      <alignment horizontal="center" vertical="center" readingOrder="1"/>
    </xf>
    <xf numFmtId="184" fontId="84" fillId="42" borderId="82" xfId="0" applyNumberFormat="1" applyFont="1" applyFill="1" applyBorder="1" applyAlignment="1">
      <alignment horizontal="center" vertical="center" readingOrder="1"/>
    </xf>
    <xf numFmtId="4" fontId="84" fillId="0" borderId="82" xfId="0" applyNumberFormat="1" applyFont="1" applyBorder="1" applyAlignment="1">
      <alignment horizontal="right" vertical="center" readingOrder="1"/>
    </xf>
    <xf numFmtId="4" fontId="83" fillId="42" borderId="82" xfId="0" applyNumberFormat="1" applyFont="1" applyFill="1" applyBorder="1" applyAlignment="1">
      <alignment horizontal="right" vertical="center" readingOrder="1"/>
    </xf>
    <xf numFmtId="4" fontId="83" fillId="42" borderId="135" xfId="0" applyNumberFormat="1" applyFont="1" applyFill="1" applyBorder="1" applyAlignment="1">
      <alignment horizontal="right" vertical="center" readingOrder="1"/>
    </xf>
    <xf numFmtId="0" fontId="78" fillId="42" borderId="108" xfId="0" applyFont="1" applyFill="1" applyBorder="1" applyAlignment="1">
      <alignment horizontal="left" vertical="center" readingOrder="1"/>
    </xf>
    <xf numFmtId="0" fontId="78" fillId="42" borderId="99" xfId="0" applyFont="1" applyFill="1" applyBorder="1" applyAlignment="1">
      <alignment horizontal="left" vertical="center" readingOrder="1"/>
    </xf>
    <xf numFmtId="0" fontId="78" fillId="42" borderId="108" xfId="0" applyFont="1" applyFill="1" applyBorder="1" applyAlignment="1">
      <alignment horizontal="left" vertical="center" wrapText="1" readingOrder="1"/>
    </xf>
    <xf numFmtId="0" fontId="78" fillId="42" borderId="99" xfId="0" applyFont="1" applyFill="1" applyBorder="1" applyAlignment="1">
      <alignment horizontal="left" vertical="center" wrapText="1" readingOrder="1"/>
    </xf>
    <xf numFmtId="4" fontId="83" fillId="42" borderId="106" xfId="0" applyNumberFormat="1" applyFont="1" applyFill="1" applyBorder="1" applyAlignment="1">
      <alignment horizontal="right" vertical="center" readingOrder="1"/>
    </xf>
    <xf numFmtId="4" fontId="83" fillId="42" borderId="141" xfId="0" applyNumberFormat="1" applyFont="1" applyFill="1" applyBorder="1" applyAlignment="1">
      <alignment horizontal="right" vertical="center" readingOrder="1"/>
    </xf>
    <xf numFmtId="0" fontId="77" fillId="42" borderId="44" xfId="0" applyFont="1" applyFill="1" applyBorder="1" applyAlignment="1">
      <alignment horizontal="left" vertical="top" readingOrder="1"/>
    </xf>
    <xf numFmtId="0" fontId="77" fillId="42" borderId="140" xfId="0" applyFont="1" applyFill="1" applyBorder="1" applyAlignment="1">
      <alignment horizontal="left" vertical="top" readingOrder="1"/>
    </xf>
    <xf numFmtId="0" fontId="78" fillId="42" borderId="47" xfId="0" applyFont="1" applyFill="1" applyBorder="1" applyAlignment="1">
      <alignment horizontal="right" vertical="center" readingOrder="1"/>
    </xf>
    <xf numFmtId="0" fontId="77" fillId="42" borderId="138" xfId="0" applyFont="1" applyFill="1" applyBorder="1" applyAlignment="1">
      <alignment horizontal="left" vertical="top" readingOrder="1"/>
    </xf>
    <xf numFmtId="0" fontId="77" fillId="42" borderId="105" xfId="0" applyFont="1" applyFill="1" applyBorder="1" applyAlignment="1">
      <alignment horizontal="left" vertical="top" readingOrder="1"/>
    </xf>
    <xf numFmtId="0" fontId="77" fillId="42" borderId="139" xfId="0" applyFont="1" applyFill="1" applyBorder="1" applyAlignment="1">
      <alignment horizontal="left" vertical="top" readingOrder="1"/>
    </xf>
    <xf numFmtId="0" fontId="77" fillId="42" borderId="51" xfId="0" applyFont="1" applyFill="1" applyBorder="1" applyAlignment="1">
      <alignment horizontal="left" vertical="top" readingOrder="1"/>
    </xf>
    <xf numFmtId="0" fontId="77" fillId="42" borderId="112" xfId="0" applyFont="1" applyFill="1" applyBorder="1" applyAlignment="1">
      <alignment horizontal="left" vertical="top" readingOrder="1"/>
    </xf>
    <xf numFmtId="0" fontId="78" fillId="42" borderId="0" xfId="0" applyFont="1" applyFill="1" applyAlignment="1">
      <alignment horizontal="right" vertical="center" readingOrder="1"/>
    </xf>
    <xf numFmtId="4" fontId="78" fillId="42" borderId="0" xfId="0" applyNumberFormat="1" applyFont="1" applyFill="1" applyAlignment="1">
      <alignment horizontal="center" vertical="center" readingOrder="1"/>
    </xf>
    <xf numFmtId="0" fontId="78" fillId="0" borderId="0" xfId="0" applyFont="1" applyAlignment="1">
      <alignment horizontal="right" vertical="center" readingOrder="1"/>
    </xf>
    <xf numFmtId="0" fontId="80" fillId="42" borderId="85" xfId="0" applyFont="1" applyFill="1" applyBorder="1" applyAlignment="1">
      <alignment horizontal="left" vertical="center" wrapText="1" readingOrder="1"/>
    </xf>
    <xf numFmtId="0" fontId="80" fillId="42" borderId="85" xfId="0" applyFont="1" applyFill="1" applyBorder="1" applyAlignment="1">
      <alignment horizontal="center" vertical="center" readingOrder="1"/>
    </xf>
    <xf numFmtId="184" fontId="80" fillId="42" borderId="85" xfId="0" applyNumberFormat="1" applyFont="1" applyFill="1" applyBorder="1" applyAlignment="1">
      <alignment horizontal="center" vertical="center" readingOrder="1"/>
    </xf>
    <xf numFmtId="4" fontId="84" fillId="0" borderId="98" xfId="0" applyNumberFormat="1" applyFont="1" applyBorder="1" applyAlignment="1">
      <alignment horizontal="right" vertical="center" readingOrder="1"/>
    </xf>
    <xf numFmtId="4" fontId="84" fillId="0" borderId="99" xfId="0" applyNumberFormat="1" applyFont="1" applyBorder="1" applyAlignment="1">
      <alignment horizontal="right" vertical="center" readingOrder="1"/>
    </xf>
    <xf numFmtId="4" fontId="84" fillId="0" borderId="100" xfId="0" applyNumberFormat="1" applyFont="1" applyBorder="1" applyAlignment="1">
      <alignment horizontal="right" vertical="center" readingOrder="1"/>
    </xf>
    <xf numFmtId="4" fontId="79" fillId="42" borderId="98" xfId="0" applyNumberFormat="1" applyFont="1" applyFill="1" applyBorder="1" applyAlignment="1">
      <alignment horizontal="right" vertical="center" readingOrder="1"/>
    </xf>
    <xf numFmtId="4" fontId="79" fillId="42" borderId="99" xfId="0" applyNumberFormat="1" applyFont="1" applyFill="1" applyBorder="1" applyAlignment="1">
      <alignment horizontal="right" vertical="center" readingOrder="1"/>
    </xf>
    <xf numFmtId="4" fontId="79" fillId="42" borderId="133" xfId="0" applyNumberFormat="1" applyFont="1" applyFill="1" applyBorder="1" applyAlignment="1">
      <alignment horizontal="right" vertical="center" readingOrder="1"/>
    </xf>
    <xf numFmtId="0" fontId="77" fillId="42" borderId="136" xfId="0" applyFont="1" applyFill="1" applyBorder="1" applyAlignment="1">
      <alignment horizontal="left" vertical="top" readingOrder="1"/>
    </xf>
    <xf numFmtId="0" fontId="77" fillId="42" borderId="91" xfId="0" applyFont="1" applyFill="1" applyBorder="1" applyAlignment="1">
      <alignment horizontal="left" vertical="top" readingOrder="1"/>
    </xf>
    <xf numFmtId="0" fontId="78" fillId="42" borderId="92" xfId="0" applyFont="1" applyFill="1" applyBorder="1" applyAlignment="1">
      <alignment horizontal="right" vertical="center" readingOrder="1"/>
    </xf>
    <xf numFmtId="4" fontId="79" fillId="42" borderId="93" xfId="0" applyNumberFormat="1" applyFont="1" applyFill="1" applyBorder="1" applyAlignment="1">
      <alignment horizontal="right" vertical="center" readingOrder="1"/>
    </xf>
    <xf numFmtId="4" fontId="79" fillId="42" borderId="137" xfId="0" applyNumberFormat="1" applyFont="1" applyFill="1" applyBorder="1" applyAlignment="1">
      <alignment horizontal="right" vertical="center" readingOrder="1"/>
    </xf>
    <xf numFmtId="0" fontId="80" fillId="42" borderId="106" xfId="0" applyFont="1" applyFill="1" applyBorder="1" applyAlignment="1">
      <alignment horizontal="left" vertical="center" wrapText="1" readingOrder="1"/>
    </xf>
    <xf numFmtId="0" fontId="80" fillId="42" borderId="106" xfId="0" applyFont="1" applyFill="1" applyBorder="1" applyAlignment="1">
      <alignment horizontal="center" vertical="center" readingOrder="1"/>
    </xf>
    <xf numFmtId="184" fontId="80" fillId="42" borderId="106" xfId="0" applyNumberFormat="1" applyFont="1" applyFill="1" applyBorder="1" applyAlignment="1">
      <alignment horizontal="center" vertical="center" readingOrder="1"/>
    </xf>
    <xf numFmtId="4" fontId="84" fillId="0" borderId="112" xfId="0" applyNumberFormat="1" applyFont="1" applyBorder="1" applyAlignment="1">
      <alignment horizontal="right" vertical="center" readingOrder="1"/>
    </xf>
    <xf numFmtId="4" fontId="84" fillId="0" borderId="0" xfId="0" applyNumberFormat="1" applyFont="1" applyAlignment="1">
      <alignment horizontal="right" vertical="center" readingOrder="1"/>
    </xf>
    <xf numFmtId="4" fontId="84" fillId="0" borderId="110" xfId="0" applyNumberFormat="1" applyFont="1" applyBorder="1" applyAlignment="1">
      <alignment horizontal="right" vertical="center" readingOrder="1"/>
    </xf>
    <xf numFmtId="4" fontId="79" fillId="42" borderId="112" xfId="0" applyNumberFormat="1" applyFont="1" applyFill="1" applyBorder="1" applyAlignment="1">
      <alignment horizontal="right" vertical="center" readingOrder="1"/>
    </xf>
    <xf numFmtId="4" fontId="79" fillId="42" borderId="0" xfId="0" applyNumberFormat="1" applyFont="1" applyFill="1" applyAlignment="1">
      <alignment horizontal="right" vertical="center" readingOrder="1"/>
    </xf>
    <xf numFmtId="4" fontId="79" fillId="42" borderId="52" xfId="0" applyNumberFormat="1" applyFont="1" applyFill="1" applyBorder="1" applyAlignment="1">
      <alignment horizontal="right" vertical="center" readingOrder="1"/>
    </xf>
    <xf numFmtId="0" fontId="80" fillId="42" borderId="105" xfId="0" applyFont="1" applyFill="1" applyBorder="1" applyAlignment="1">
      <alignment horizontal="left" vertical="center" wrapText="1" readingOrder="1"/>
    </xf>
    <xf numFmtId="0" fontId="80" fillId="42" borderId="105" xfId="0" applyFont="1" applyFill="1" applyBorder="1" applyAlignment="1">
      <alignment horizontal="center" vertical="center" readingOrder="1"/>
    </xf>
    <xf numFmtId="184" fontId="80" fillId="42" borderId="105" xfId="0" applyNumberFormat="1" applyFont="1" applyFill="1" applyBorder="1" applyAlignment="1">
      <alignment horizontal="center" vertical="center" readingOrder="1"/>
    </xf>
    <xf numFmtId="4" fontId="84" fillId="0" borderId="111" xfId="0" applyNumberFormat="1" applyFont="1" applyBorder="1" applyAlignment="1">
      <alignment horizontal="right" vertical="center" readingOrder="1"/>
    </xf>
    <xf numFmtId="4" fontId="84" fillId="0" borderId="108" xfId="0" applyNumberFormat="1" applyFont="1" applyBorder="1" applyAlignment="1">
      <alignment horizontal="right" vertical="center" readingOrder="1"/>
    </xf>
    <xf numFmtId="4" fontId="84" fillId="0" borderId="109" xfId="0" applyNumberFormat="1" applyFont="1" applyBorder="1" applyAlignment="1">
      <alignment horizontal="right" vertical="center" readingOrder="1"/>
    </xf>
    <xf numFmtId="4" fontId="79" fillId="42" borderId="105" xfId="0" applyNumberFormat="1" applyFont="1" applyFill="1" applyBorder="1" applyAlignment="1">
      <alignment horizontal="right" vertical="center" readingOrder="1"/>
    </xf>
    <xf numFmtId="4" fontId="79" fillId="42" borderId="139" xfId="0" applyNumberFormat="1" applyFont="1" applyFill="1" applyBorder="1" applyAlignment="1">
      <alignment horizontal="right" vertical="center" readingOrder="1"/>
    </xf>
    <xf numFmtId="0" fontId="78" fillId="42" borderId="134" xfId="0" applyFont="1" applyFill="1" applyBorder="1" applyAlignment="1">
      <alignment horizontal="center" vertical="center" readingOrder="1"/>
    </xf>
    <xf numFmtId="0" fontId="78" fillId="42" borderId="82" xfId="0" applyFont="1" applyFill="1" applyBorder="1" applyAlignment="1">
      <alignment horizontal="center" vertical="center" readingOrder="1"/>
    </xf>
    <xf numFmtId="0" fontId="78" fillId="42" borderId="82" xfId="0" applyFont="1" applyFill="1" applyBorder="1" applyAlignment="1">
      <alignment horizontal="center" vertical="center" wrapText="1" readingOrder="1"/>
    </xf>
    <xf numFmtId="0" fontId="78" fillId="0" borderId="82" xfId="0" applyFont="1" applyBorder="1" applyAlignment="1">
      <alignment horizontal="center" vertical="center" wrapText="1" readingOrder="1"/>
    </xf>
    <xf numFmtId="0" fontId="78" fillId="42" borderId="135" xfId="0" applyFont="1" applyFill="1" applyBorder="1" applyAlignment="1">
      <alignment horizontal="center" vertical="center" wrapText="1" readingOrder="1"/>
    </xf>
    <xf numFmtId="4" fontId="84" fillId="42" borderId="82" xfId="0" applyNumberFormat="1" applyFont="1" applyFill="1" applyBorder="1" applyAlignment="1">
      <alignment horizontal="center" vertical="center" readingOrder="1"/>
    </xf>
    <xf numFmtId="0" fontId="85" fillId="42" borderId="47" xfId="0" applyFont="1" applyFill="1" applyBorder="1" applyAlignment="1">
      <alignment horizontal="left" vertical="top" readingOrder="1"/>
    </xf>
    <xf numFmtId="0" fontId="85" fillId="42" borderId="130" xfId="0" applyFont="1" applyFill="1" applyBorder="1" applyAlignment="1">
      <alignment horizontal="left" vertical="top" readingOrder="1"/>
    </xf>
    <xf numFmtId="0" fontId="85" fillId="42" borderId="108" xfId="0" applyFont="1" applyFill="1" applyBorder="1" applyAlignment="1">
      <alignment horizontal="left" vertical="top" readingOrder="1"/>
    </xf>
    <xf numFmtId="0" fontId="85" fillId="42" borderId="131" xfId="0" applyFont="1" applyFill="1" applyBorder="1" applyAlignment="1">
      <alignment horizontal="left" vertical="top" readingOrder="1"/>
    </xf>
    <xf numFmtId="0" fontId="85" fillId="42" borderId="0" xfId="0" applyFont="1" applyFill="1" applyAlignment="1">
      <alignment horizontal="left" vertical="top" readingOrder="1"/>
    </xf>
    <xf numFmtId="0" fontId="84" fillId="42" borderId="98" xfId="0" applyFont="1" applyFill="1" applyBorder="1" applyAlignment="1">
      <alignment horizontal="left" vertical="center" wrapText="1" readingOrder="1"/>
    </xf>
    <xf numFmtId="0" fontId="84" fillId="42" borderId="99" xfId="0" applyFont="1" applyFill="1" applyBorder="1" applyAlignment="1">
      <alignment horizontal="left" vertical="center" wrapText="1" readingOrder="1"/>
    </xf>
    <xf numFmtId="0" fontId="84" fillId="42" borderId="100" xfId="0" applyFont="1" applyFill="1" applyBorder="1" applyAlignment="1">
      <alignment horizontal="left" vertical="center" wrapText="1" readingOrder="1"/>
    </xf>
    <xf numFmtId="0" fontId="84" fillId="42" borderId="98" xfId="0" applyFont="1" applyFill="1" applyBorder="1" applyAlignment="1">
      <alignment horizontal="center" vertical="center" readingOrder="1"/>
    </xf>
    <xf numFmtId="0" fontId="84" fillId="42" borderId="100" xfId="0" applyFont="1" applyFill="1" applyBorder="1" applyAlignment="1">
      <alignment horizontal="center" vertical="center" readingOrder="1"/>
    </xf>
    <xf numFmtId="184" fontId="84" fillId="42" borderId="98" xfId="0" applyNumberFormat="1" applyFont="1" applyFill="1" applyBorder="1" applyAlignment="1">
      <alignment horizontal="center" vertical="center" readingOrder="1"/>
    </xf>
    <xf numFmtId="184" fontId="84" fillId="42" borderId="99" xfId="0" applyNumberFormat="1" applyFont="1" applyFill="1" applyBorder="1" applyAlignment="1">
      <alignment horizontal="center" vertical="center" readingOrder="1"/>
    </xf>
    <xf numFmtId="184" fontId="84" fillId="42" borderId="100" xfId="0" applyNumberFormat="1" applyFont="1" applyFill="1" applyBorder="1" applyAlignment="1">
      <alignment horizontal="center" vertical="center" readingOrder="1"/>
    </xf>
    <xf numFmtId="0" fontId="85" fillId="42" borderId="92" xfId="0" applyFont="1" applyFill="1" applyBorder="1" applyAlignment="1">
      <alignment horizontal="left" vertical="top" readingOrder="1"/>
    </xf>
    <xf numFmtId="4" fontId="83" fillId="42" borderId="92" xfId="0" applyNumberFormat="1" applyFont="1" applyFill="1" applyBorder="1" applyAlignment="1">
      <alignment horizontal="right" vertical="center" readingOrder="1"/>
    </xf>
    <xf numFmtId="0" fontId="84" fillId="42" borderId="112" xfId="0" applyFont="1" applyFill="1" applyBorder="1" applyAlignment="1">
      <alignment horizontal="left" vertical="center" wrapText="1" readingOrder="1"/>
    </xf>
    <xf numFmtId="0" fontId="84" fillId="42" borderId="0" xfId="0" applyFont="1" applyFill="1" applyAlignment="1">
      <alignment horizontal="left" vertical="center" wrapText="1" readingOrder="1"/>
    </xf>
    <xf numFmtId="0" fontId="84" fillId="42" borderId="110" xfId="0" applyFont="1" applyFill="1" applyBorder="1" applyAlignment="1">
      <alignment horizontal="left" vertical="center" wrapText="1" readingOrder="1"/>
    </xf>
    <xf numFmtId="0" fontId="84" fillId="42" borderId="112" xfId="0" applyFont="1" applyFill="1" applyBorder="1" applyAlignment="1">
      <alignment horizontal="center" vertical="center" readingOrder="1"/>
    </xf>
    <xf numFmtId="0" fontId="84" fillId="42" borderId="110" xfId="0" applyFont="1" applyFill="1" applyBorder="1" applyAlignment="1">
      <alignment horizontal="center" vertical="center" readingOrder="1"/>
    </xf>
    <xf numFmtId="184" fontId="84" fillId="42" borderId="112" xfId="0" applyNumberFormat="1" applyFont="1" applyFill="1" applyBorder="1" applyAlignment="1">
      <alignment horizontal="center" vertical="center" readingOrder="1"/>
    </xf>
    <xf numFmtId="184" fontId="84" fillId="42" borderId="0" xfId="0" applyNumberFormat="1" applyFont="1" applyFill="1" applyAlignment="1">
      <alignment horizontal="center" vertical="center" readingOrder="1"/>
    </xf>
    <xf numFmtId="184" fontId="84" fillId="42" borderId="110" xfId="0" applyNumberFormat="1" applyFont="1" applyFill="1" applyBorder="1" applyAlignment="1">
      <alignment horizontal="center" vertical="center" readingOrder="1"/>
    </xf>
    <xf numFmtId="0" fontId="84" fillId="42" borderId="111" xfId="0" applyFont="1" applyFill="1" applyBorder="1" applyAlignment="1">
      <alignment horizontal="left" vertical="center" wrapText="1" readingOrder="1"/>
    </xf>
    <xf numFmtId="0" fontId="84" fillId="42" borderId="108" xfId="0" applyFont="1" applyFill="1" applyBorder="1" applyAlignment="1">
      <alignment horizontal="left" vertical="center" wrapText="1" readingOrder="1"/>
    </xf>
    <xf numFmtId="0" fontId="84" fillId="42" borderId="109" xfId="0" applyFont="1" applyFill="1" applyBorder="1" applyAlignment="1">
      <alignment horizontal="left" vertical="center" wrapText="1" readingOrder="1"/>
    </xf>
    <xf numFmtId="0" fontId="84" fillId="42" borderId="111" xfId="0" applyFont="1" applyFill="1" applyBorder="1" applyAlignment="1">
      <alignment horizontal="center" vertical="center" readingOrder="1"/>
    </xf>
    <xf numFmtId="0" fontId="84" fillId="42" borderId="109" xfId="0" applyFont="1" applyFill="1" applyBorder="1" applyAlignment="1">
      <alignment horizontal="center" vertical="center" readingOrder="1"/>
    </xf>
    <xf numFmtId="184" fontId="84" fillId="42" borderId="111" xfId="0" applyNumberFormat="1" applyFont="1" applyFill="1" applyBorder="1" applyAlignment="1">
      <alignment horizontal="center" vertical="center" readingOrder="1"/>
    </xf>
    <xf numFmtId="184" fontId="84" fillId="42" borderId="108" xfId="0" applyNumberFormat="1" applyFont="1" applyFill="1" applyBorder="1" applyAlignment="1">
      <alignment horizontal="center" vertical="center" readingOrder="1"/>
    </xf>
    <xf numFmtId="184" fontId="84" fillId="42" borderId="109" xfId="0" applyNumberFormat="1" applyFont="1" applyFill="1" applyBorder="1" applyAlignment="1">
      <alignment horizontal="center" vertical="center" readingOrder="1"/>
    </xf>
    <xf numFmtId="4" fontId="83" fillId="42" borderId="111" xfId="0" applyNumberFormat="1" applyFont="1" applyFill="1" applyBorder="1" applyAlignment="1">
      <alignment horizontal="right" vertical="center" readingOrder="1"/>
    </xf>
    <xf numFmtId="4" fontId="83" fillId="42" borderId="108" xfId="0" applyNumberFormat="1" applyFont="1" applyFill="1" applyBorder="1" applyAlignment="1">
      <alignment horizontal="right" vertical="center" readingOrder="1"/>
    </xf>
    <xf numFmtId="4" fontId="83" fillId="42" borderId="131" xfId="0" applyNumberFormat="1" applyFont="1" applyFill="1" applyBorder="1" applyAlignment="1">
      <alignment horizontal="right" vertical="center" readingOrder="1"/>
    </xf>
    <xf numFmtId="0" fontId="83" fillId="42" borderId="128" xfId="0" applyFont="1" applyFill="1" applyBorder="1" applyAlignment="1">
      <alignment horizontal="right" vertical="center" readingOrder="1"/>
    </xf>
    <xf numFmtId="0" fontId="86" fillId="36" borderId="60" xfId="314" applyFont="1" applyFill="1" applyBorder="1" applyAlignment="1">
      <alignment horizontal="center" vertical="center"/>
    </xf>
    <xf numFmtId="0" fontId="86" fillId="36" borderId="50" xfId="314" applyFont="1" applyFill="1" applyBorder="1" applyAlignment="1">
      <alignment horizontal="center" vertical="center"/>
    </xf>
    <xf numFmtId="0" fontId="86" fillId="36" borderId="27" xfId="314" applyFont="1" applyFill="1" applyBorder="1" applyAlignment="1">
      <alignment horizontal="center" vertical="center"/>
    </xf>
    <xf numFmtId="0" fontId="86" fillId="33" borderId="77" xfId="314" applyFont="1" applyFill="1" applyBorder="1" applyAlignment="1">
      <alignment horizontal="center"/>
    </xf>
    <xf numFmtId="0" fontId="86" fillId="33" borderId="67" xfId="314" applyFont="1" applyFill="1" applyBorder="1" applyAlignment="1">
      <alignment horizontal="center"/>
    </xf>
    <xf numFmtId="0" fontId="86" fillId="33" borderId="68" xfId="314" applyFont="1" applyFill="1" applyBorder="1" applyAlignment="1">
      <alignment horizontal="center"/>
    </xf>
    <xf numFmtId="0" fontId="86" fillId="33" borderId="64" xfId="314" applyFont="1" applyFill="1" applyBorder="1" applyAlignment="1">
      <alignment horizontal="center" vertical="center"/>
    </xf>
    <xf numFmtId="0" fontId="86" fillId="36" borderId="34" xfId="314" applyFont="1" applyFill="1" applyBorder="1" applyAlignment="1">
      <alignment horizontal="center" vertical="center"/>
    </xf>
    <xf numFmtId="0" fontId="86" fillId="36" borderId="24" xfId="314" applyFont="1" applyFill="1" applyBorder="1" applyAlignment="1">
      <alignment horizontal="center" vertical="center"/>
    </xf>
    <xf numFmtId="0" fontId="86" fillId="0" borderId="24" xfId="314" applyFont="1" applyBorder="1" applyAlignment="1">
      <alignment horizontal="center" vertical="center"/>
    </xf>
    <xf numFmtId="0" fontId="86" fillId="36" borderId="35" xfId="314" applyFont="1" applyFill="1" applyBorder="1" applyAlignment="1">
      <alignment horizontal="center" vertical="center"/>
    </xf>
    <xf numFmtId="0" fontId="86" fillId="33" borderId="34" xfId="314" applyFont="1" applyFill="1" applyBorder="1" applyAlignment="1">
      <alignment horizontal="left"/>
    </xf>
    <xf numFmtId="0" fontId="86" fillId="33" borderId="24" xfId="314" applyFont="1" applyFill="1" applyBorder="1" applyAlignment="1">
      <alignment horizontal="left"/>
    </xf>
    <xf numFmtId="0" fontId="88" fillId="33" borderId="60" xfId="314" applyFont="1" applyFill="1" applyBorder="1" applyAlignment="1">
      <alignment horizontal="center" vertical="center"/>
    </xf>
    <xf numFmtId="0" fontId="88" fillId="33" borderId="50" xfId="314" applyFont="1" applyFill="1" applyBorder="1" applyAlignment="1">
      <alignment horizontal="center" vertical="center"/>
    </xf>
    <xf numFmtId="0" fontId="88" fillId="33" borderId="64" xfId="314" applyFont="1" applyFill="1" applyBorder="1" applyAlignment="1">
      <alignment horizontal="center" vertical="center"/>
    </xf>
    <xf numFmtId="0" fontId="86" fillId="36" borderId="34" xfId="314" applyFont="1" applyFill="1" applyBorder="1" applyAlignment="1">
      <alignment horizontal="center"/>
    </xf>
    <xf numFmtId="0" fontId="86" fillId="36" borderId="24" xfId="314" applyFont="1" applyFill="1" applyBorder="1" applyAlignment="1">
      <alignment horizontal="center"/>
    </xf>
    <xf numFmtId="0" fontId="88" fillId="33" borderId="34" xfId="314" applyFont="1" applyFill="1" applyBorder="1" applyAlignment="1">
      <alignment horizontal="center"/>
    </xf>
    <xf numFmtId="0" fontId="88" fillId="33" borderId="24" xfId="314" applyFont="1" applyFill="1" applyBorder="1" applyAlignment="1">
      <alignment horizontal="center"/>
    </xf>
    <xf numFmtId="0" fontId="90" fillId="33" borderId="60" xfId="314" applyFont="1" applyFill="1" applyBorder="1" applyAlignment="1">
      <alignment horizontal="center" vertical="center"/>
    </xf>
    <xf numFmtId="0" fontId="90" fillId="33" borderId="50" xfId="314" applyFont="1" applyFill="1" applyBorder="1" applyAlignment="1">
      <alignment horizontal="center" vertical="center"/>
    </xf>
    <xf numFmtId="0" fontId="90" fillId="33" borderId="64" xfId="314" applyFont="1" applyFill="1" applyBorder="1" applyAlignment="1">
      <alignment horizontal="center" vertical="center"/>
    </xf>
    <xf numFmtId="0" fontId="88" fillId="33" borderId="122" xfId="314" applyFont="1" applyFill="1" applyBorder="1" applyAlignment="1">
      <alignment horizontal="center"/>
    </xf>
    <xf numFmtId="0" fontId="88" fillId="33" borderId="45" xfId="314" applyFont="1" applyFill="1" applyBorder="1" applyAlignment="1">
      <alignment horizontal="center"/>
    </xf>
    <xf numFmtId="0" fontId="88" fillId="33" borderId="126" xfId="314" applyFont="1" applyFill="1" applyBorder="1" applyAlignment="1">
      <alignment horizontal="center"/>
    </xf>
    <xf numFmtId="0" fontId="89" fillId="33" borderId="60" xfId="314" applyFont="1" applyFill="1" applyBorder="1" applyAlignment="1">
      <alignment horizontal="center" vertical="center"/>
    </xf>
    <xf numFmtId="0" fontId="89" fillId="33" borderId="50" xfId="314" applyFont="1" applyFill="1" applyBorder="1" applyAlignment="1">
      <alignment horizontal="center" vertical="center"/>
    </xf>
    <xf numFmtId="0" fontId="89" fillId="33" borderId="64" xfId="314" applyFont="1" applyFill="1" applyBorder="1" applyAlignment="1">
      <alignment horizontal="center" vertical="center"/>
    </xf>
    <xf numFmtId="0" fontId="90" fillId="33" borderId="60" xfId="314" applyFont="1" applyFill="1" applyBorder="1" applyAlignment="1">
      <alignment horizontal="center" vertical="center" wrapText="1"/>
    </xf>
    <xf numFmtId="0" fontId="90" fillId="33" borderId="50" xfId="314" applyFont="1" applyFill="1" applyBorder="1" applyAlignment="1">
      <alignment horizontal="center" vertical="center" wrapText="1"/>
    </xf>
    <xf numFmtId="0" fontId="90" fillId="33" borderId="64" xfId="314" applyFont="1" applyFill="1" applyBorder="1" applyAlignment="1">
      <alignment horizontal="center" vertical="center" wrapText="1"/>
    </xf>
  </cellXfs>
  <cellStyles count="1093">
    <cellStyle name=" 1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 2" xfId="8" xr:uid="{00000000-0005-0000-0000-000007000000}"/>
    <cellStyle name="20% - Ênfase1 2 2" xfId="9" xr:uid="{00000000-0005-0000-0000-000008000000}"/>
    <cellStyle name="20% - Ênfase1 2 3" xfId="10" xr:uid="{00000000-0005-0000-0000-000009000000}"/>
    <cellStyle name="20% - Ênfase1 2 4" xfId="11" xr:uid="{00000000-0005-0000-0000-00000A000000}"/>
    <cellStyle name="20% - Ênfase1 2_Compo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1 5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 4" xfId="19" xr:uid="{00000000-0005-0000-0000-000012000000}"/>
    <cellStyle name="20% - Ênfase2 2_Compo" xfId="20" xr:uid="{00000000-0005-0000-0000-000013000000}"/>
    <cellStyle name="20% - Ênfase2 3" xfId="21" xr:uid="{00000000-0005-0000-0000-000014000000}"/>
    <cellStyle name="20% - Ênfase2 4" xfId="22" xr:uid="{00000000-0005-0000-0000-000015000000}"/>
    <cellStyle name="20% - Ênfase2 5" xfId="23" xr:uid="{00000000-0005-0000-0000-000016000000}"/>
    <cellStyle name="20% - Ênfase3 2" xfId="24" xr:uid="{00000000-0005-0000-0000-000017000000}"/>
    <cellStyle name="20% - Ênfase3 2 2" xfId="25" xr:uid="{00000000-0005-0000-0000-000018000000}"/>
    <cellStyle name="20% - Ênfase3 2 3" xfId="26" xr:uid="{00000000-0005-0000-0000-000019000000}"/>
    <cellStyle name="20% - Ênfase3 2 4" xfId="27" xr:uid="{00000000-0005-0000-0000-00001A000000}"/>
    <cellStyle name="20% - Ênfase3 2_Compo" xfId="28" xr:uid="{00000000-0005-0000-0000-00001B000000}"/>
    <cellStyle name="20% - Ênfase3 3" xfId="29" xr:uid="{00000000-0005-0000-0000-00001C000000}"/>
    <cellStyle name="20% - Ênfase3 4" xfId="30" xr:uid="{00000000-0005-0000-0000-00001D000000}"/>
    <cellStyle name="20% - Ênfase3 5" xfId="31" xr:uid="{00000000-0005-0000-0000-00001E000000}"/>
    <cellStyle name="20% - Ênfase4 2" xfId="32" xr:uid="{00000000-0005-0000-0000-00001F000000}"/>
    <cellStyle name="20% - Ênfase4 2 2" xfId="33" xr:uid="{00000000-0005-0000-0000-000020000000}"/>
    <cellStyle name="20% - Ênfase4 2 3" xfId="34" xr:uid="{00000000-0005-0000-0000-000021000000}"/>
    <cellStyle name="20% - Ênfase4 2 4" xfId="35" xr:uid="{00000000-0005-0000-0000-000022000000}"/>
    <cellStyle name="20% - Ênfase4 2_Compo" xfId="36" xr:uid="{00000000-0005-0000-0000-000023000000}"/>
    <cellStyle name="20% - Ênfase4 3" xfId="37" xr:uid="{00000000-0005-0000-0000-000024000000}"/>
    <cellStyle name="20% - Ênfase4 4" xfId="38" xr:uid="{00000000-0005-0000-0000-000025000000}"/>
    <cellStyle name="20% - Ênfase4 5" xfId="39" xr:uid="{00000000-0005-0000-0000-000026000000}"/>
    <cellStyle name="20% - Ênfase5 2" xfId="40" xr:uid="{00000000-0005-0000-0000-000027000000}"/>
    <cellStyle name="20% - Ênfase5 2 2" xfId="41" xr:uid="{00000000-0005-0000-0000-000028000000}"/>
    <cellStyle name="20% - Ênfase5 2 3" xfId="42" xr:uid="{00000000-0005-0000-0000-000029000000}"/>
    <cellStyle name="20% - Ênfase5 2 4" xfId="43" xr:uid="{00000000-0005-0000-0000-00002A000000}"/>
    <cellStyle name="20% - Ênfase5 2_Compo" xfId="44" xr:uid="{00000000-0005-0000-0000-00002B000000}"/>
    <cellStyle name="20% - Ênfase5 3" xfId="45" xr:uid="{00000000-0005-0000-0000-00002C000000}"/>
    <cellStyle name="20% - Ênfase5 4" xfId="46" xr:uid="{00000000-0005-0000-0000-00002D000000}"/>
    <cellStyle name="20% - Ênfase5 5" xfId="47" xr:uid="{00000000-0005-0000-0000-00002E000000}"/>
    <cellStyle name="20% - Ênfase6 2" xfId="48" xr:uid="{00000000-0005-0000-0000-00002F000000}"/>
    <cellStyle name="20% - Ênfase6 2 2" xfId="49" xr:uid="{00000000-0005-0000-0000-000030000000}"/>
    <cellStyle name="20% - Ênfase6 2 3" xfId="50" xr:uid="{00000000-0005-0000-0000-000031000000}"/>
    <cellStyle name="20% - Ênfase6 2 4" xfId="51" xr:uid="{00000000-0005-0000-0000-000032000000}"/>
    <cellStyle name="20% - Ênfase6 2_Compo" xfId="52" xr:uid="{00000000-0005-0000-0000-000033000000}"/>
    <cellStyle name="20% - Ênfase6 3" xfId="53" xr:uid="{00000000-0005-0000-0000-000034000000}"/>
    <cellStyle name="20% - Ênfase6 4" xfId="54" xr:uid="{00000000-0005-0000-0000-000035000000}"/>
    <cellStyle name="20% - Ênfase6 5" xfId="55" xr:uid="{00000000-0005-0000-0000-000036000000}"/>
    <cellStyle name="40% - Accent1" xfId="56" xr:uid="{00000000-0005-0000-0000-000037000000}"/>
    <cellStyle name="40% - Accent2" xfId="57" xr:uid="{00000000-0005-0000-0000-000038000000}"/>
    <cellStyle name="40% - Accent3" xfId="58" xr:uid="{00000000-0005-0000-0000-000039000000}"/>
    <cellStyle name="40% - Accent4" xfId="59" xr:uid="{00000000-0005-0000-0000-00003A000000}"/>
    <cellStyle name="40% - Accent5" xfId="60" xr:uid="{00000000-0005-0000-0000-00003B000000}"/>
    <cellStyle name="40% - Accent6" xfId="61" xr:uid="{00000000-0005-0000-0000-00003C000000}"/>
    <cellStyle name="40% - Ênfase1 2" xfId="62" xr:uid="{00000000-0005-0000-0000-00003D000000}"/>
    <cellStyle name="40% - Ênfase1 2 2" xfId="63" xr:uid="{00000000-0005-0000-0000-00003E000000}"/>
    <cellStyle name="40% - Ênfase1 2 3" xfId="64" xr:uid="{00000000-0005-0000-0000-00003F000000}"/>
    <cellStyle name="40% - Ênfase1 2 4" xfId="65" xr:uid="{00000000-0005-0000-0000-000040000000}"/>
    <cellStyle name="40% - Ênfase1 2_Compo" xfId="66" xr:uid="{00000000-0005-0000-0000-000041000000}"/>
    <cellStyle name="40% - Ênfase1 3" xfId="67" xr:uid="{00000000-0005-0000-0000-000042000000}"/>
    <cellStyle name="40% - Ênfase1 4" xfId="68" xr:uid="{00000000-0005-0000-0000-000043000000}"/>
    <cellStyle name="40% - Ênfase1 5" xfId="69" xr:uid="{00000000-0005-0000-0000-000044000000}"/>
    <cellStyle name="40% - Ênfase2 2" xfId="70" xr:uid="{00000000-0005-0000-0000-000045000000}"/>
    <cellStyle name="40% - Ênfase2 2 2" xfId="71" xr:uid="{00000000-0005-0000-0000-000046000000}"/>
    <cellStyle name="40% - Ênfase2 2 3" xfId="72" xr:uid="{00000000-0005-0000-0000-000047000000}"/>
    <cellStyle name="40% - Ênfase2 2 4" xfId="73" xr:uid="{00000000-0005-0000-0000-000048000000}"/>
    <cellStyle name="40% - Ênfase2 2_Compo" xfId="74" xr:uid="{00000000-0005-0000-0000-000049000000}"/>
    <cellStyle name="40% - Ênfase2 3" xfId="75" xr:uid="{00000000-0005-0000-0000-00004A000000}"/>
    <cellStyle name="40% - Ênfase2 4" xfId="76" xr:uid="{00000000-0005-0000-0000-00004B000000}"/>
    <cellStyle name="40% - Ênfase2 5" xfId="77" xr:uid="{00000000-0005-0000-0000-00004C000000}"/>
    <cellStyle name="40% - Ênfase3 2" xfId="78" xr:uid="{00000000-0005-0000-0000-00004D000000}"/>
    <cellStyle name="40% - Ênfase3 2 2" xfId="79" xr:uid="{00000000-0005-0000-0000-00004E000000}"/>
    <cellStyle name="40% - Ênfase3 2 3" xfId="80" xr:uid="{00000000-0005-0000-0000-00004F000000}"/>
    <cellStyle name="40% - Ênfase3 2 4" xfId="81" xr:uid="{00000000-0005-0000-0000-000050000000}"/>
    <cellStyle name="40% - Ênfase3 2_Compo" xfId="82" xr:uid="{00000000-0005-0000-0000-000051000000}"/>
    <cellStyle name="40% - Ênfase3 3" xfId="83" xr:uid="{00000000-0005-0000-0000-000052000000}"/>
    <cellStyle name="40% - Ênfase3 4" xfId="84" xr:uid="{00000000-0005-0000-0000-000053000000}"/>
    <cellStyle name="40% - Ênfase3 5" xfId="85" xr:uid="{00000000-0005-0000-0000-000054000000}"/>
    <cellStyle name="40% - Ênfase4 2" xfId="86" xr:uid="{00000000-0005-0000-0000-000055000000}"/>
    <cellStyle name="40% - Ênfase4 2 2" xfId="87" xr:uid="{00000000-0005-0000-0000-000056000000}"/>
    <cellStyle name="40% - Ênfase4 2 3" xfId="88" xr:uid="{00000000-0005-0000-0000-000057000000}"/>
    <cellStyle name="40% - Ênfase4 2 4" xfId="89" xr:uid="{00000000-0005-0000-0000-000058000000}"/>
    <cellStyle name="40% - Ênfase4 2_Compo" xfId="90" xr:uid="{00000000-0005-0000-0000-000059000000}"/>
    <cellStyle name="40% - Ênfase4 3" xfId="91" xr:uid="{00000000-0005-0000-0000-00005A000000}"/>
    <cellStyle name="40% - Ênfase4 4" xfId="92" xr:uid="{00000000-0005-0000-0000-00005B000000}"/>
    <cellStyle name="40% - Ênfase4 5" xfId="93" xr:uid="{00000000-0005-0000-0000-00005C000000}"/>
    <cellStyle name="40% - Ênfase5 2" xfId="94" xr:uid="{00000000-0005-0000-0000-00005D000000}"/>
    <cellStyle name="40% - Ênfase5 2 2" xfId="95" xr:uid="{00000000-0005-0000-0000-00005E000000}"/>
    <cellStyle name="40% - Ênfase5 2 3" xfId="96" xr:uid="{00000000-0005-0000-0000-00005F000000}"/>
    <cellStyle name="40% - Ênfase5 2 4" xfId="97" xr:uid="{00000000-0005-0000-0000-000060000000}"/>
    <cellStyle name="40% - Ênfase5 2_Compo" xfId="98" xr:uid="{00000000-0005-0000-0000-000061000000}"/>
    <cellStyle name="40% - Ênfase5 3" xfId="99" xr:uid="{00000000-0005-0000-0000-000062000000}"/>
    <cellStyle name="40% - Ênfase5 4" xfId="100" xr:uid="{00000000-0005-0000-0000-000063000000}"/>
    <cellStyle name="40% - Ênfase5 5" xfId="101" xr:uid="{00000000-0005-0000-0000-000064000000}"/>
    <cellStyle name="40% - Ênfase6 2" xfId="102" xr:uid="{00000000-0005-0000-0000-000065000000}"/>
    <cellStyle name="40% - Ênfase6 2 2" xfId="103" xr:uid="{00000000-0005-0000-0000-000066000000}"/>
    <cellStyle name="40% - Ênfase6 2 3" xfId="104" xr:uid="{00000000-0005-0000-0000-000067000000}"/>
    <cellStyle name="40% - Ênfase6 2 4" xfId="105" xr:uid="{00000000-0005-0000-0000-000068000000}"/>
    <cellStyle name="40% - Ênfase6 2_Compo" xfId="106" xr:uid="{00000000-0005-0000-0000-000069000000}"/>
    <cellStyle name="40% - Ênfase6 3" xfId="107" xr:uid="{00000000-0005-0000-0000-00006A000000}"/>
    <cellStyle name="40% - Ênfase6 4" xfId="108" xr:uid="{00000000-0005-0000-0000-00006B000000}"/>
    <cellStyle name="40% - Ênfase6 5" xfId="109" xr:uid="{00000000-0005-0000-0000-00006C000000}"/>
    <cellStyle name="60% - Accent1" xfId="110" xr:uid="{00000000-0005-0000-0000-00006D000000}"/>
    <cellStyle name="60% - Accent2" xfId="111" xr:uid="{00000000-0005-0000-0000-00006E000000}"/>
    <cellStyle name="60% - Accent3" xfId="112" xr:uid="{00000000-0005-0000-0000-00006F000000}"/>
    <cellStyle name="60% - Accent4" xfId="113" xr:uid="{00000000-0005-0000-0000-000070000000}"/>
    <cellStyle name="60% - Accent5" xfId="114" xr:uid="{00000000-0005-0000-0000-000071000000}"/>
    <cellStyle name="60% - Accent6" xfId="115" xr:uid="{00000000-0005-0000-0000-000072000000}"/>
    <cellStyle name="60% - Ênfase1 2" xfId="116" xr:uid="{00000000-0005-0000-0000-000073000000}"/>
    <cellStyle name="60% - Ênfase1 2 2" xfId="117" xr:uid="{00000000-0005-0000-0000-000074000000}"/>
    <cellStyle name="60% - Ênfase1 2 3" xfId="118" xr:uid="{00000000-0005-0000-0000-000075000000}"/>
    <cellStyle name="60% - Ênfase1 2_ORÇAMENTO - FORUM DE V. GRANDE" xfId="119" xr:uid="{00000000-0005-0000-0000-000076000000}"/>
    <cellStyle name="60% - Ênfase1 3" xfId="120" xr:uid="{00000000-0005-0000-0000-000077000000}"/>
    <cellStyle name="60% - Ênfase1 4" xfId="121" xr:uid="{00000000-0005-0000-0000-000078000000}"/>
    <cellStyle name="60% - Ênfase1 5" xfId="122" xr:uid="{00000000-0005-0000-0000-000079000000}"/>
    <cellStyle name="60% - Ênfase1 6" xfId="123" xr:uid="{00000000-0005-0000-0000-00007A000000}"/>
    <cellStyle name="60% - Ênfase2 2" xfId="124" xr:uid="{00000000-0005-0000-0000-00007B000000}"/>
    <cellStyle name="60% - Ênfase2 2 2" xfId="125" xr:uid="{00000000-0005-0000-0000-00007C000000}"/>
    <cellStyle name="60% - Ênfase2 2 3" xfId="126" xr:uid="{00000000-0005-0000-0000-00007D000000}"/>
    <cellStyle name="60% - Ênfase2 2_ORÇAMENTO - FORUM DE V. GRANDE" xfId="127" xr:uid="{00000000-0005-0000-0000-00007E000000}"/>
    <cellStyle name="60% - Ênfase2 3" xfId="128" xr:uid="{00000000-0005-0000-0000-00007F000000}"/>
    <cellStyle name="60% - Ênfase2 4" xfId="129" xr:uid="{00000000-0005-0000-0000-000080000000}"/>
    <cellStyle name="60% - Ênfase2 5" xfId="130" xr:uid="{00000000-0005-0000-0000-000081000000}"/>
    <cellStyle name="60% - Ênfase2 6" xfId="131" xr:uid="{00000000-0005-0000-0000-000082000000}"/>
    <cellStyle name="60% - Ênfase3 2" xfId="132" xr:uid="{00000000-0005-0000-0000-000083000000}"/>
    <cellStyle name="60% - Ênfase3 2 2" xfId="133" xr:uid="{00000000-0005-0000-0000-000084000000}"/>
    <cellStyle name="60% - Ênfase3 2 3" xfId="134" xr:uid="{00000000-0005-0000-0000-000085000000}"/>
    <cellStyle name="60% - Ênfase3 2_ORÇAMENTO - FORUM DE V. GRANDE" xfId="135" xr:uid="{00000000-0005-0000-0000-000086000000}"/>
    <cellStyle name="60% - Ênfase3 3" xfId="136" xr:uid="{00000000-0005-0000-0000-000087000000}"/>
    <cellStyle name="60% - Ênfase3 4" xfId="137" xr:uid="{00000000-0005-0000-0000-000088000000}"/>
    <cellStyle name="60% - Ênfase3 5" xfId="138" xr:uid="{00000000-0005-0000-0000-000089000000}"/>
    <cellStyle name="60% - Ênfase3 6" xfId="139" xr:uid="{00000000-0005-0000-0000-00008A000000}"/>
    <cellStyle name="60% - Ênfase4 2" xfId="140" xr:uid="{00000000-0005-0000-0000-00008B000000}"/>
    <cellStyle name="60% - Ênfase4 2 2" xfId="141" xr:uid="{00000000-0005-0000-0000-00008C000000}"/>
    <cellStyle name="60% - Ênfase4 2 3" xfId="142" xr:uid="{00000000-0005-0000-0000-00008D000000}"/>
    <cellStyle name="60% - Ênfase4 2_ORÇAMENTO - FORUM DE V. GRANDE" xfId="143" xr:uid="{00000000-0005-0000-0000-00008E000000}"/>
    <cellStyle name="60% - Ênfase4 3" xfId="144" xr:uid="{00000000-0005-0000-0000-00008F000000}"/>
    <cellStyle name="60% - Ênfase4 4" xfId="145" xr:uid="{00000000-0005-0000-0000-000090000000}"/>
    <cellStyle name="60% - Ênfase4 5" xfId="146" xr:uid="{00000000-0005-0000-0000-000091000000}"/>
    <cellStyle name="60% - Ênfase4 6" xfId="147" xr:uid="{00000000-0005-0000-0000-000092000000}"/>
    <cellStyle name="60% - Ênfase5 2" xfId="148" xr:uid="{00000000-0005-0000-0000-000093000000}"/>
    <cellStyle name="60% - Ênfase5 2 2" xfId="149" xr:uid="{00000000-0005-0000-0000-000094000000}"/>
    <cellStyle name="60% - Ênfase5 2 3" xfId="150" xr:uid="{00000000-0005-0000-0000-000095000000}"/>
    <cellStyle name="60% - Ênfase5 2_ORÇAMENTO - FORUM DE V. GRANDE" xfId="151" xr:uid="{00000000-0005-0000-0000-000096000000}"/>
    <cellStyle name="60% - Ênfase5 3" xfId="152" xr:uid="{00000000-0005-0000-0000-000097000000}"/>
    <cellStyle name="60% - Ênfase5 4" xfId="153" xr:uid="{00000000-0005-0000-0000-000098000000}"/>
    <cellStyle name="60% - Ênfase5 5" xfId="154" xr:uid="{00000000-0005-0000-0000-000099000000}"/>
    <cellStyle name="60% - Ênfase5 6" xfId="155" xr:uid="{00000000-0005-0000-0000-00009A000000}"/>
    <cellStyle name="60% - Ênfase6 2" xfId="156" xr:uid="{00000000-0005-0000-0000-00009B000000}"/>
    <cellStyle name="60% - Ênfase6 2 2" xfId="157" xr:uid="{00000000-0005-0000-0000-00009C000000}"/>
    <cellStyle name="60% - Ênfase6 2 3" xfId="158" xr:uid="{00000000-0005-0000-0000-00009D000000}"/>
    <cellStyle name="60% - Ênfase6 2_ORÇAMENTO - FORUM DE V. GRANDE" xfId="159" xr:uid="{00000000-0005-0000-0000-00009E000000}"/>
    <cellStyle name="60% - Ênfase6 3" xfId="160" xr:uid="{00000000-0005-0000-0000-00009F000000}"/>
    <cellStyle name="60% - Ênfase6 4" xfId="161" xr:uid="{00000000-0005-0000-0000-0000A0000000}"/>
    <cellStyle name="60% - Ênfase6 5" xfId="162" xr:uid="{00000000-0005-0000-0000-0000A1000000}"/>
    <cellStyle name="60% - Ênfase6 6" xfId="163" xr:uid="{00000000-0005-0000-0000-0000A2000000}"/>
    <cellStyle name="Accent1" xfId="164" xr:uid="{00000000-0005-0000-0000-0000A3000000}"/>
    <cellStyle name="Accent2" xfId="165" xr:uid="{00000000-0005-0000-0000-0000A4000000}"/>
    <cellStyle name="Accent3" xfId="166" xr:uid="{00000000-0005-0000-0000-0000A5000000}"/>
    <cellStyle name="Accent4" xfId="167" xr:uid="{00000000-0005-0000-0000-0000A6000000}"/>
    <cellStyle name="Accent5" xfId="168" xr:uid="{00000000-0005-0000-0000-0000A7000000}"/>
    <cellStyle name="Accent6" xfId="169" xr:uid="{00000000-0005-0000-0000-0000A8000000}"/>
    <cellStyle name="Bad" xfId="170" xr:uid="{00000000-0005-0000-0000-0000A9000000}"/>
    <cellStyle name="Bom 2" xfId="171" xr:uid="{00000000-0005-0000-0000-0000AA000000}"/>
    <cellStyle name="Bom 2 2" xfId="172" xr:uid="{00000000-0005-0000-0000-0000AB000000}"/>
    <cellStyle name="Bom 2 3" xfId="173" xr:uid="{00000000-0005-0000-0000-0000AC000000}"/>
    <cellStyle name="Bom 2_ORÇAMENTO - FORUM DE V. GRANDE" xfId="174" xr:uid="{00000000-0005-0000-0000-0000AD000000}"/>
    <cellStyle name="Bom 3" xfId="175" xr:uid="{00000000-0005-0000-0000-0000AE000000}"/>
    <cellStyle name="Bom 4" xfId="176" xr:uid="{00000000-0005-0000-0000-0000AF000000}"/>
    <cellStyle name="Bom 5" xfId="177" xr:uid="{00000000-0005-0000-0000-0000B0000000}"/>
    <cellStyle name="Bom 6" xfId="178" xr:uid="{00000000-0005-0000-0000-0000B1000000}"/>
    <cellStyle name="Calculation" xfId="179" xr:uid="{00000000-0005-0000-0000-0000B2000000}"/>
    <cellStyle name="Cálculo 2" xfId="180" xr:uid="{00000000-0005-0000-0000-0000B3000000}"/>
    <cellStyle name="Cálculo 2 2" xfId="181" xr:uid="{00000000-0005-0000-0000-0000B4000000}"/>
    <cellStyle name="Cálculo 2 3" xfId="182" xr:uid="{00000000-0005-0000-0000-0000B5000000}"/>
    <cellStyle name="Cálculo 2_CIVIL- BL 1-2-3-4-5-6-7-8 " xfId="183" xr:uid="{00000000-0005-0000-0000-0000B6000000}"/>
    <cellStyle name="Cálculo 3" xfId="184" xr:uid="{00000000-0005-0000-0000-0000B7000000}"/>
    <cellStyle name="Cálculo 4" xfId="185" xr:uid="{00000000-0005-0000-0000-0000B8000000}"/>
    <cellStyle name="Cálculo 5" xfId="186" xr:uid="{00000000-0005-0000-0000-0000B9000000}"/>
    <cellStyle name="Cálculo 6" xfId="187" xr:uid="{00000000-0005-0000-0000-0000BA000000}"/>
    <cellStyle name="Cancel" xfId="188" xr:uid="{00000000-0005-0000-0000-0000BB000000}"/>
    <cellStyle name="Célula de Verificação 2" xfId="189" xr:uid="{00000000-0005-0000-0000-0000BC000000}"/>
    <cellStyle name="Célula de Verificação 2 2" xfId="190" xr:uid="{00000000-0005-0000-0000-0000BD000000}"/>
    <cellStyle name="Célula de Verificação 2 3" xfId="191" xr:uid="{00000000-0005-0000-0000-0000BE000000}"/>
    <cellStyle name="Célula de Verificação 2_CIVIL- BL 1-2-3-4-5-6-7-8 " xfId="192" xr:uid="{00000000-0005-0000-0000-0000BF000000}"/>
    <cellStyle name="Célula de Verificação 3" xfId="193" xr:uid="{00000000-0005-0000-0000-0000C0000000}"/>
    <cellStyle name="Célula de Verificação 4" xfId="194" xr:uid="{00000000-0005-0000-0000-0000C1000000}"/>
    <cellStyle name="Célula de Verificação 5" xfId="195" xr:uid="{00000000-0005-0000-0000-0000C2000000}"/>
    <cellStyle name="Célula de Verificação 6" xfId="196" xr:uid="{00000000-0005-0000-0000-0000C3000000}"/>
    <cellStyle name="Célula Vinculada 2" xfId="197" xr:uid="{00000000-0005-0000-0000-0000C4000000}"/>
    <cellStyle name="Célula Vinculada 2 2" xfId="198" xr:uid="{00000000-0005-0000-0000-0000C5000000}"/>
    <cellStyle name="Célula Vinculada 2 3" xfId="199" xr:uid="{00000000-0005-0000-0000-0000C6000000}"/>
    <cellStyle name="Célula Vinculada 2_CIVIL- BL 1-2-3-4-5-6-7-8 " xfId="200" xr:uid="{00000000-0005-0000-0000-0000C7000000}"/>
    <cellStyle name="Célula Vinculada 3" xfId="201" xr:uid="{00000000-0005-0000-0000-0000C8000000}"/>
    <cellStyle name="Célula Vinculada 4" xfId="202" xr:uid="{00000000-0005-0000-0000-0000C9000000}"/>
    <cellStyle name="Célula Vinculada 5" xfId="203" xr:uid="{00000000-0005-0000-0000-0000CA000000}"/>
    <cellStyle name="Célula Vinculada 6" xfId="204" xr:uid="{00000000-0005-0000-0000-0000CB000000}"/>
    <cellStyle name="Check Cell" xfId="205" xr:uid="{00000000-0005-0000-0000-0000CC000000}"/>
    <cellStyle name="Comma0" xfId="206" xr:uid="{00000000-0005-0000-0000-0000CD000000}"/>
    <cellStyle name="Currency0" xfId="207" xr:uid="{00000000-0005-0000-0000-0000CE000000}"/>
    <cellStyle name="Ênfase1 2" xfId="208" xr:uid="{00000000-0005-0000-0000-0000CF000000}"/>
    <cellStyle name="Ênfase1 2 2" xfId="209" xr:uid="{00000000-0005-0000-0000-0000D0000000}"/>
    <cellStyle name="Ênfase1 2 3" xfId="210" xr:uid="{00000000-0005-0000-0000-0000D1000000}"/>
    <cellStyle name="Ênfase1 2_ORÇAMENTO - FORUM DE V. GRANDE" xfId="211" xr:uid="{00000000-0005-0000-0000-0000D2000000}"/>
    <cellStyle name="Ênfase1 3" xfId="212" xr:uid="{00000000-0005-0000-0000-0000D3000000}"/>
    <cellStyle name="Ênfase1 4" xfId="213" xr:uid="{00000000-0005-0000-0000-0000D4000000}"/>
    <cellStyle name="Ênfase1 5" xfId="214" xr:uid="{00000000-0005-0000-0000-0000D5000000}"/>
    <cellStyle name="Ênfase1 6" xfId="215" xr:uid="{00000000-0005-0000-0000-0000D6000000}"/>
    <cellStyle name="Ênfase2 2" xfId="216" xr:uid="{00000000-0005-0000-0000-0000D7000000}"/>
    <cellStyle name="Ênfase2 2 2" xfId="217" xr:uid="{00000000-0005-0000-0000-0000D8000000}"/>
    <cellStyle name="Ênfase2 2 3" xfId="218" xr:uid="{00000000-0005-0000-0000-0000D9000000}"/>
    <cellStyle name="Ênfase2 2_ORÇAMENTO - FORUM DE V. GRANDE" xfId="219" xr:uid="{00000000-0005-0000-0000-0000DA000000}"/>
    <cellStyle name="Ênfase2 3" xfId="220" xr:uid="{00000000-0005-0000-0000-0000DB000000}"/>
    <cellStyle name="Ênfase2 4" xfId="221" xr:uid="{00000000-0005-0000-0000-0000DC000000}"/>
    <cellStyle name="Ênfase2 5" xfId="222" xr:uid="{00000000-0005-0000-0000-0000DD000000}"/>
    <cellStyle name="Ênfase2 6" xfId="223" xr:uid="{00000000-0005-0000-0000-0000DE000000}"/>
    <cellStyle name="Ênfase3 2" xfId="224" xr:uid="{00000000-0005-0000-0000-0000DF000000}"/>
    <cellStyle name="Ênfase3 2 2" xfId="225" xr:uid="{00000000-0005-0000-0000-0000E0000000}"/>
    <cellStyle name="Ênfase3 2 3" xfId="226" xr:uid="{00000000-0005-0000-0000-0000E1000000}"/>
    <cellStyle name="Ênfase3 2_ORÇAMENTO - FORUM DE V. GRANDE" xfId="227" xr:uid="{00000000-0005-0000-0000-0000E2000000}"/>
    <cellStyle name="Ênfase3 3" xfId="228" xr:uid="{00000000-0005-0000-0000-0000E3000000}"/>
    <cellStyle name="Ênfase3 4" xfId="229" xr:uid="{00000000-0005-0000-0000-0000E4000000}"/>
    <cellStyle name="Ênfase3 5" xfId="230" xr:uid="{00000000-0005-0000-0000-0000E5000000}"/>
    <cellStyle name="Ênfase3 6" xfId="231" xr:uid="{00000000-0005-0000-0000-0000E6000000}"/>
    <cellStyle name="Ênfase4 2" xfId="232" xr:uid="{00000000-0005-0000-0000-0000E7000000}"/>
    <cellStyle name="Ênfase4 2 2" xfId="233" xr:uid="{00000000-0005-0000-0000-0000E8000000}"/>
    <cellStyle name="Ênfase4 2 3" xfId="234" xr:uid="{00000000-0005-0000-0000-0000E9000000}"/>
    <cellStyle name="Ênfase4 2_ORÇAMENTO - FORUM DE V. GRANDE" xfId="235" xr:uid="{00000000-0005-0000-0000-0000EA000000}"/>
    <cellStyle name="Ênfase4 3" xfId="236" xr:uid="{00000000-0005-0000-0000-0000EB000000}"/>
    <cellStyle name="Ênfase4 4" xfId="237" xr:uid="{00000000-0005-0000-0000-0000EC000000}"/>
    <cellStyle name="Ênfase4 5" xfId="238" xr:uid="{00000000-0005-0000-0000-0000ED000000}"/>
    <cellStyle name="Ênfase4 6" xfId="239" xr:uid="{00000000-0005-0000-0000-0000EE000000}"/>
    <cellStyle name="Ênfase5 2" xfId="240" xr:uid="{00000000-0005-0000-0000-0000EF000000}"/>
    <cellStyle name="Ênfase5 2 2" xfId="241" xr:uid="{00000000-0005-0000-0000-0000F0000000}"/>
    <cellStyle name="Ênfase5 2 3" xfId="242" xr:uid="{00000000-0005-0000-0000-0000F1000000}"/>
    <cellStyle name="Ênfase5 2_ORÇAMENTO - FORUM DE V. GRANDE" xfId="243" xr:uid="{00000000-0005-0000-0000-0000F2000000}"/>
    <cellStyle name="Ênfase5 3" xfId="244" xr:uid="{00000000-0005-0000-0000-0000F3000000}"/>
    <cellStyle name="Ênfase5 4" xfId="245" xr:uid="{00000000-0005-0000-0000-0000F4000000}"/>
    <cellStyle name="Ênfase5 5" xfId="246" xr:uid="{00000000-0005-0000-0000-0000F5000000}"/>
    <cellStyle name="Ênfase5 6" xfId="247" xr:uid="{00000000-0005-0000-0000-0000F6000000}"/>
    <cellStyle name="Ênfase6 2" xfId="248" xr:uid="{00000000-0005-0000-0000-0000F7000000}"/>
    <cellStyle name="Ênfase6 2 2" xfId="249" xr:uid="{00000000-0005-0000-0000-0000F8000000}"/>
    <cellStyle name="Ênfase6 2 3" xfId="250" xr:uid="{00000000-0005-0000-0000-0000F9000000}"/>
    <cellStyle name="Ênfase6 2_ORÇAMENTO - FORUM DE V. GRANDE" xfId="251" xr:uid="{00000000-0005-0000-0000-0000FA000000}"/>
    <cellStyle name="Ênfase6 3" xfId="252" xr:uid="{00000000-0005-0000-0000-0000FB000000}"/>
    <cellStyle name="Ênfase6 4" xfId="253" xr:uid="{00000000-0005-0000-0000-0000FC000000}"/>
    <cellStyle name="Ênfase6 5" xfId="254" xr:uid="{00000000-0005-0000-0000-0000FD000000}"/>
    <cellStyle name="Ênfase6 6" xfId="255" xr:uid="{00000000-0005-0000-0000-0000FE000000}"/>
    <cellStyle name="Entrada 2" xfId="256" xr:uid="{00000000-0005-0000-0000-0000FF000000}"/>
    <cellStyle name="Entrada 2 2" xfId="257" xr:uid="{00000000-0005-0000-0000-000000010000}"/>
    <cellStyle name="Entrada 2 3" xfId="258" xr:uid="{00000000-0005-0000-0000-000001010000}"/>
    <cellStyle name="Entrada 2_CIVIL- BL 1-2-3-4-5-6-7-8 " xfId="259" xr:uid="{00000000-0005-0000-0000-000002010000}"/>
    <cellStyle name="Entrada 3" xfId="260" xr:uid="{00000000-0005-0000-0000-000003010000}"/>
    <cellStyle name="Entrada 4" xfId="261" xr:uid="{00000000-0005-0000-0000-000004010000}"/>
    <cellStyle name="Entrada 5" xfId="262" xr:uid="{00000000-0005-0000-0000-000005010000}"/>
    <cellStyle name="Entrada 6" xfId="263" xr:uid="{00000000-0005-0000-0000-000006010000}"/>
    <cellStyle name="Estilo 1" xfId="264" xr:uid="{00000000-0005-0000-0000-000007010000}"/>
    <cellStyle name="Euro" xfId="265" xr:uid="{00000000-0005-0000-0000-000008010000}"/>
    <cellStyle name="Euro 2" xfId="266" xr:uid="{00000000-0005-0000-0000-000009010000}"/>
    <cellStyle name="Euro 2 2" xfId="267" xr:uid="{00000000-0005-0000-0000-00000A010000}"/>
    <cellStyle name="Euro 3" xfId="268" xr:uid="{00000000-0005-0000-0000-00000B010000}"/>
    <cellStyle name="Excel Built-in Normal" xfId="269" xr:uid="{00000000-0005-0000-0000-00000C010000}"/>
    <cellStyle name="Excel Built-in Normal 1 1" xfId="270" xr:uid="{00000000-0005-0000-0000-00000D010000}"/>
    <cellStyle name="Excel Built-in Normal 10 3" xfId="271" xr:uid="{00000000-0005-0000-0000-00000E010000}"/>
    <cellStyle name="Excel Built-in Vírgula 6" xfId="272" xr:uid="{00000000-0005-0000-0000-00000F010000}"/>
    <cellStyle name="Explanatory Text" xfId="273" xr:uid="{00000000-0005-0000-0000-000010010000}"/>
    <cellStyle name="Good" xfId="274" xr:uid="{00000000-0005-0000-0000-000011010000}"/>
    <cellStyle name="Heading 1" xfId="275" xr:uid="{00000000-0005-0000-0000-000012010000}"/>
    <cellStyle name="Heading 2" xfId="276" xr:uid="{00000000-0005-0000-0000-000013010000}"/>
    <cellStyle name="Heading 3" xfId="277" xr:uid="{00000000-0005-0000-0000-000014010000}"/>
    <cellStyle name="Heading 4" xfId="278" xr:uid="{00000000-0005-0000-0000-000015010000}"/>
    <cellStyle name="Hiperlink 2" xfId="279" xr:uid="{00000000-0005-0000-0000-000017010000}"/>
    <cellStyle name="Hyperlink 2" xfId="280" xr:uid="{00000000-0005-0000-0000-000018010000}"/>
    <cellStyle name="Incorreto 2" xfId="281" xr:uid="{00000000-0005-0000-0000-000019010000}"/>
    <cellStyle name="Incorreto 2 2" xfId="282" xr:uid="{00000000-0005-0000-0000-00001A010000}"/>
    <cellStyle name="Incorreto 2 3" xfId="283" xr:uid="{00000000-0005-0000-0000-00001B010000}"/>
    <cellStyle name="Incorreto 2_ORÇAMENTO - FORUM DE V. GRANDE" xfId="284" xr:uid="{00000000-0005-0000-0000-00001C010000}"/>
    <cellStyle name="Incorreto 3" xfId="285" xr:uid="{00000000-0005-0000-0000-00001D010000}"/>
    <cellStyle name="Incorreto 4" xfId="286" xr:uid="{00000000-0005-0000-0000-00001E010000}"/>
    <cellStyle name="Incorreto 5" xfId="287" xr:uid="{00000000-0005-0000-0000-00001F010000}"/>
    <cellStyle name="Incorreto 6" xfId="288" xr:uid="{00000000-0005-0000-0000-000020010000}"/>
    <cellStyle name="Input" xfId="289" xr:uid="{00000000-0005-0000-0000-000021010000}"/>
    <cellStyle name="Linked Cell" xfId="290" xr:uid="{00000000-0005-0000-0000-000022010000}"/>
    <cellStyle name="Moeda" xfId="291" builtinId="4"/>
    <cellStyle name="Moeda 10" xfId="292" xr:uid="{00000000-0005-0000-0000-000024010000}"/>
    <cellStyle name="Moeda 2" xfId="293" xr:uid="{00000000-0005-0000-0000-000025010000}"/>
    <cellStyle name="Moeda 2 2" xfId="294" xr:uid="{00000000-0005-0000-0000-000026010000}"/>
    <cellStyle name="Moeda 2 3" xfId="295" xr:uid="{00000000-0005-0000-0000-000027010000}"/>
    <cellStyle name="Moeda 2_ORÇAMENTO - FORUM DE V. GRANDE" xfId="296" xr:uid="{00000000-0005-0000-0000-000028010000}"/>
    <cellStyle name="Moeda 24" xfId="297" xr:uid="{00000000-0005-0000-0000-000029010000}"/>
    <cellStyle name="Moeda 3" xfId="298" xr:uid="{00000000-0005-0000-0000-00002A010000}"/>
    <cellStyle name="Moeda 4" xfId="299" xr:uid="{00000000-0005-0000-0000-00002B010000}"/>
    <cellStyle name="Moeda 5" xfId="300" xr:uid="{00000000-0005-0000-0000-00002C010000}"/>
    <cellStyle name="Moeda 6" xfId="301" xr:uid="{00000000-0005-0000-0000-00002D010000}"/>
    <cellStyle name="Moeda 7" xfId="302" xr:uid="{00000000-0005-0000-0000-00002E010000}"/>
    <cellStyle name="Moeda 8" xfId="303" xr:uid="{00000000-0005-0000-0000-00002F010000}"/>
    <cellStyle name="Moeda 9" xfId="304" xr:uid="{00000000-0005-0000-0000-000030010000}"/>
    <cellStyle name="Neutra 2" xfId="305" xr:uid="{00000000-0005-0000-0000-000031010000}"/>
    <cellStyle name="Neutra 2 2" xfId="306" xr:uid="{00000000-0005-0000-0000-000032010000}"/>
    <cellStyle name="Neutra 2 3" xfId="307" xr:uid="{00000000-0005-0000-0000-000033010000}"/>
    <cellStyle name="Neutra 2_ORÇAMENTO - FORUM DE V. GRANDE" xfId="308" xr:uid="{00000000-0005-0000-0000-000034010000}"/>
    <cellStyle name="Neutra 3" xfId="309" xr:uid="{00000000-0005-0000-0000-000035010000}"/>
    <cellStyle name="Neutra 4" xfId="310" xr:uid="{00000000-0005-0000-0000-000036010000}"/>
    <cellStyle name="Neutra 5" xfId="311" xr:uid="{00000000-0005-0000-0000-000037010000}"/>
    <cellStyle name="Neutra 6" xfId="312" xr:uid="{00000000-0005-0000-0000-000038010000}"/>
    <cellStyle name="Neutral" xfId="313" xr:uid="{00000000-0005-0000-0000-000039010000}"/>
    <cellStyle name="Normal" xfId="0" builtinId="0"/>
    <cellStyle name="Normal 10" xfId="314" xr:uid="{00000000-0005-0000-0000-00003B010000}"/>
    <cellStyle name="Normal 10 2" xfId="315" xr:uid="{00000000-0005-0000-0000-00003C010000}"/>
    <cellStyle name="Normal 10_Compo-Civil" xfId="316" xr:uid="{00000000-0005-0000-0000-00003D010000}"/>
    <cellStyle name="Normal 11" xfId="317" xr:uid="{00000000-0005-0000-0000-00003E010000}"/>
    <cellStyle name="Normal 11 2" xfId="318" xr:uid="{00000000-0005-0000-0000-00003F010000}"/>
    <cellStyle name="Normal 11_Compo-Civil" xfId="319" xr:uid="{00000000-0005-0000-0000-000040010000}"/>
    <cellStyle name="Normal 12" xfId="320" xr:uid="{00000000-0005-0000-0000-000041010000}"/>
    <cellStyle name="Normal 12 2" xfId="321" xr:uid="{00000000-0005-0000-0000-000042010000}"/>
    <cellStyle name="Normal 12_Compo-Civil" xfId="322" xr:uid="{00000000-0005-0000-0000-000043010000}"/>
    <cellStyle name="Normal 13" xfId="323" xr:uid="{00000000-0005-0000-0000-000044010000}"/>
    <cellStyle name="Normal 13 2" xfId="324" xr:uid="{00000000-0005-0000-0000-000045010000}"/>
    <cellStyle name="Normal 13 2 2" xfId="325" xr:uid="{00000000-0005-0000-0000-000046010000}"/>
    <cellStyle name="Normal 13 2 3" xfId="326" xr:uid="{00000000-0005-0000-0000-000047010000}"/>
    <cellStyle name="Normal 13 2_Compo-Civil" xfId="327" xr:uid="{00000000-0005-0000-0000-000048010000}"/>
    <cellStyle name="Normal 13 3" xfId="328" xr:uid="{00000000-0005-0000-0000-000049010000}"/>
    <cellStyle name="Normal 13 4" xfId="329" xr:uid="{00000000-0005-0000-0000-00004A010000}"/>
    <cellStyle name="Normal 13_Compo-Civil" xfId="330" xr:uid="{00000000-0005-0000-0000-00004B010000}"/>
    <cellStyle name="Normal 14" xfId="331" xr:uid="{00000000-0005-0000-0000-00004C010000}"/>
    <cellStyle name="Normal 14 2" xfId="332" xr:uid="{00000000-0005-0000-0000-00004D010000}"/>
    <cellStyle name="Normal 14_Compo-Civil" xfId="333" xr:uid="{00000000-0005-0000-0000-00004E010000}"/>
    <cellStyle name="Normal 15" xfId="334" xr:uid="{00000000-0005-0000-0000-00004F010000}"/>
    <cellStyle name="Normal 15 2" xfId="335" xr:uid="{00000000-0005-0000-0000-000050010000}"/>
    <cellStyle name="Normal 15 2 2" xfId="336" xr:uid="{00000000-0005-0000-0000-000051010000}"/>
    <cellStyle name="Normal 15 2 3" xfId="337" xr:uid="{00000000-0005-0000-0000-000052010000}"/>
    <cellStyle name="Normal 15 2_Compo-Civil" xfId="338" xr:uid="{00000000-0005-0000-0000-000053010000}"/>
    <cellStyle name="Normal 15 3" xfId="339" xr:uid="{00000000-0005-0000-0000-000054010000}"/>
    <cellStyle name="Normal 15 4" xfId="340" xr:uid="{00000000-0005-0000-0000-000055010000}"/>
    <cellStyle name="Normal 15_Compo-Civil" xfId="341" xr:uid="{00000000-0005-0000-0000-000056010000}"/>
    <cellStyle name="Normal 16" xfId="342" xr:uid="{00000000-0005-0000-0000-000057010000}"/>
    <cellStyle name="Normal 16 2" xfId="343" xr:uid="{00000000-0005-0000-0000-000058010000}"/>
    <cellStyle name="Normal 16 2 2" xfId="344" xr:uid="{00000000-0005-0000-0000-000059010000}"/>
    <cellStyle name="Normal 16 2 3" xfId="345" xr:uid="{00000000-0005-0000-0000-00005A010000}"/>
    <cellStyle name="Normal 16 2_Compo-Civil" xfId="346" xr:uid="{00000000-0005-0000-0000-00005B010000}"/>
    <cellStyle name="Normal 16 3" xfId="347" xr:uid="{00000000-0005-0000-0000-00005C010000}"/>
    <cellStyle name="Normal 16 4" xfId="348" xr:uid="{00000000-0005-0000-0000-00005D010000}"/>
    <cellStyle name="Normal 16_Compo-Civil" xfId="349" xr:uid="{00000000-0005-0000-0000-00005E010000}"/>
    <cellStyle name="Normal 17" xfId="350" xr:uid="{00000000-0005-0000-0000-00005F010000}"/>
    <cellStyle name="Normal 17 2" xfId="351" xr:uid="{00000000-0005-0000-0000-000060010000}"/>
    <cellStyle name="Normal 17_Compo-Civil" xfId="352" xr:uid="{00000000-0005-0000-0000-000061010000}"/>
    <cellStyle name="Normal 18" xfId="353" xr:uid="{00000000-0005-0000-0000-000062010000}"/>
    <cellStyle name="Normal 18 2" xfId="354" xr:uid="{00000000-0005-0000-0000-000063010000}"/>
    <cellStyle name="Normal 18_Compo-Civil" xfId="355" xr:uid="{00000000-0005-0000-0000-000064010000}"/>
    <cellStyle name="Normal 19" xfId="356" xr:uid="{00000000-0005-0000-0000-000065010000}"/>
    <cellStyle name="Normal 19 2" xfId="357" xr:uid="{00000000-0005-0000-0000-000066010000}"/>
    <cellStyle name="Normal 19_Compo-Civil" xfId="358" xr:uid="{00000000-0005-0000-0000-000067010000}"/>
    <cellStyle name="Normal 2" xfId="359" xr:uid="{00000000-0005-0000-0000-000068010000}"/>
    <cellStyle name="Normal 2 2" xfId="360" xr:uid="{00000000-0005-0000-0000-000069010000}"/>
    <cellStyle name="Normal 2 2 2" xfId="361" xr:uid="{00000000-0005-0000-0000-00006A010000}"/>
    <cellStyle name="Normal 2 2 2 2" xfId="362" xr:uid="{00000000-0005-0000-0000-00006B010000}"/>
    <cellStyle name="Normal 2 2 2_ORÇAMENTO - FORUM DE V. GRANDE" xfId="363" xr:uid="{00000000-0005-0000-0000-00006C010000}"/>
    <cellStyle name="Normal 2 2_Compo-Civil" xfId="364" xr:uid="{00000000-0005-0000-0000-00006D010000}"/>
    <cellStyle name="Normal 2 3" xfId="365" xr:uid="{00000000-0005-0000-0000-00006E010000}"/>
    <cellStyle name="Normal 2 4" xfId="366" xr:uid="{00000000-0005-0000-0000-00006F010000}"/>
    <cellStyle name="Normal 2 5" xfId="367" xr:uid="{00000000-0005-0000-0000-000070010000}"/>
    <cellStyle name="Normal 2 6" xfId="368" xr:uid="{00000000-0005-0000-0000-000071010000}"/>
    <cellStyle name="Normal 2 7" xfId="369" xr:uid="{00000000-0005-0000-0000-000072010000}"/>
    <cellStyle name="Normal 2 8" xfId="370" xr:uid="{00000000-0005-0000-0000-000073010000}"/>
    <cellStyle name="Normal 20" xfId="371" xr:uid="{00000000-0005-0000-0000-000074010000}"/>
    <cellStyle name="Normal 20 2" xfId="372" xr:uid="{00000000-0005-0000-0000-000075010000}"/>
    <cellStyle name="Normal 20_Compo-Civil" xfId="373" xr:uid="{00000000-0005-0000-0000-000076010000}"/>
    <cellStyle name="Normal 21" xfId="374" xr:uid="{00000000-0005-0000-0000-000077010000}"/>
    <cellStyle name="Normal 21 2" xfId="375" xr:uid="{00000000-0005-0000-0000-000078010000}"/>
    <cellStyle name="Normal 21 3" xfId="376" xr:uid="{00000000-0005-0000-0000-000079010000}"/>
    <cellStyle name="Normal 21 4" xfId="377" xr:uid="{00000000-0005-0000-0000-00007A010000}"/>
    <cellStyle name="Normal 21_Compo-Civil" xfId="378" xr:uid="{00000000-0005-0000-0000-00007B010000}"/>
    <cellStyle name="Normal 22" xfId="379" xr:uid="{00000000-0005-0000-0000-00007C010000}"/>
    <cellStyle name="Normal 22 2" xfId="380" xr:uid="{00000000-0005-0000-0000-00007D010000}"/>
    <cellStyle name="Normal 22_Compo-Civil" xfId="381" xr:uid="{00000000-0005-0000-0000-00007E010000}"/>
    <cellStyle name="Normal 23" xfId="382" xr:uid="{00000000-0005-0000-0000-00007F010000}"/>
    <cellStyle name="Normal 23 2" xfId="383" xr:uid="{00000000-0005-0000-0000-000080010000}"/>
    <cellStyle name="Normal 23_Compo-Civil" xfId="384" xr:uid="{00000000-0005-0000-0000-000081010000}"/>
    <cellStyle name="Normal 24" xfId="385" xr:uid="{00000000-0005-0000-0000-000082010000}"/>
    <cellStyle name="Normal 24 2" xfId="386" xr:uid="{00000000-0005-0000-0000-000083010000}"/>
    <cellStyle name="Normal 24_Compo-Civil" xfId="387" xr:uid="{00000000-0005-0000-0000-000084010000}"/>
    <cellStyle name="Normal 25" xfId="388" xr:uid="{00000000-0005-0000-0000-000085010000}"/>
    <cellStyle name="Normal 25 2" xfId="389" xr:uid="{00000000-0005-0000-0000-000086010000}"/>
    <cellStyle name="Normal 25_Compo-Civil" xfId="390" xr:uid="{00000000-0005-0000-0000-000087010000}"/>
    <cellStyle name="Normal 26" xfId="391" xr:uid="{00000000-0005-0000-0000-000088010000}"/>
    <cellStyle name="Normal 26 2" xfId="392" xr:uid="{00000000-0005-0000-0000-000089010000}"/>
    <cellStyle name="Normal 26_Compo-Civil" xfId="393" xr:uid="{00000000-0005-0000-0000-00008A010000}"/>
    <cellStyle name="Normal 27" xfId="394" xr:uid="{00000000-0005-0000-0000-00008B010000}"/>
    <cellStyle name="Normal 27 2" xfId="395" xr:uid="{00000000-0005-0000-0000-00008C010000}"/>
    <cellStyle name="Normal 27_Compo-Civil" xfId="396" xr:uid="{00000000-0005-0000-0000-00008D010000}"/>
    <cellStyle name="Normal 28" xfId="397" xr:uid="{00000000-0005-0000-0000-00008E010000}"/>
    <cellStyle name="Normal 28 2" xfId="398" xr:uid="{00000000-0005-0000-0000-00008F010000}"/>
    <cellStyle name="Normal 28_Compo-Civil" xfId="399" xr:uid="{00000000-0005-0000-0000-000090010000}"/>
    <cellStyle name="Normal 29" xfId="400" xr:uid="{00000000-0005-0000-0000-000091010000}"/>
    <cellStyle name="Normal 3 2" xfId="401" xr:uid="{00000000-0005-0000-0000-000092010000}"/>
    <cellStyle name="Normal 3 2 2" xfId="1091" xr:uid="{0CC87A4D-7608-4BDA-959E-D0ABCB9E1A9E}"/>
    <cellStyle name="Normal 3 3" xfId="402" xr:uid="{00000000-0005-0000-0000-000093010000}"/>
    <cellStyle name="Normal 3 4" xfId="403" xr:uid="{00000000-0005-0000-0000-000094010000}"/>
    <cellStyle name="Normal 30" xfId="404" xr:uid="{00000000-0005-0000-0000-000095010000}"/>
    <cellStyle name="Normal 31" xfId="405" xr:uid="{00000000-0005-0000-0000-000096010000}"/>
    <cellStyle name="Normal 32" xfId="406" xr:uid="{00000000-0005-0000-0000-000097010000}"/>
    <cellStyle name="Normal 33" xfId="407" xr:uid="{00000000-0005-0000-0000-000098010000}"/>
    <cellStyle name="Normal 34" xfId="408" xr:uid="{00000000-0005-0000-0000-000099010000}"/>
    <cellStyle name="Normal 35" xfId="409" xr:uid="{00000000-0005-0000-0000-00009A010000}"/>
    <cellStyle name="Normal 36" xfId="410" xr:uid="{00000000-0005-0000-0000-00009B010000}"/>
    <cellStyle name="Normal 37" xfId="411" xr:uid="{00000000-0005-0000-0000-00009C010000}"/>
    <cellStyle name="Normal 38" xfId="412" xr:uid="{00000000-0005-0000-0000-00009D010000}"/>
    <cellStyle name="Normal 39" xfId="413" xr:uid="{00000000-0005-0000-0000-00009E010000}"/>
    <cellStyle name="Normal 4 10" xfId="414" xr:uid="{00000000-0005-0000-0000-00009F010000}"/>
    <cellStyle name="Normal 4 2" xfId="415" xr:uid="{00000000-0005-0000-0000-0000A0010000}"/>
    <cellStyle name="Normal 4 2 2" xfId="416" xr:uid="{00000000-0005-0000-0000-0000A1010000}"/>
    <cellStyle name="Normal 4 2 3" xfId="417" xr:uid="{00000000-0005-0000-0000-0000A2010000}"/>
    <cellStyle name="Normal 4 2_Compo-Civil" xfId="418" xr:uid="{00000000-0005-0000-0000-0000A3010000}"/>
    <cellStyle name="Normal 4 3" xfId="419" xr:uid="{00000000-0005-0000-0000-0000A4010000}"/>
    <cellStyle name="Normal 4 4" xfId="420" xr:uid="{00000000-0005-0000-0000-0000A5010000}"/>
    <cellStyle name="Normal 4 5" xfId="421" xr:uid="{00000000-0005-0000-0000-0000A6010000}"/>
    <cellStyle name="Normal 4 6" xfId="422" xr:uid="{00000000-0005-0000-0000-0000A7010000}"/>
    <cellStyle name="Normal 4 7" xfId="423" xr:uid="{00000000-0005-0000-0000-0000A8010000}"/>
    <cellStyle name="Normal 4 8" xfId="424" xr:uid="{00000000-0005-0000-0000-0000A9010000}"/>
    <cellStyle name="Normal 4 9" xfId="425" xr:uid="{00000000-0005-0000-0000-0000AA010000}"/>
    <cellStyle name="Normal 4_ORÇAMENTO" xfId="426" xr:uid="{00000000-0005-0000-0000-0000AB010000}"/>
    <cellStyle name="Normal 40" xfId="427" xr:uid="{00000000-0005-0000-0000-0000AC010000}"/>
    <cellStyle name="Normal 41" xfId="428" xr:uid="{00000000-0005-0000-0000-0000AD010000}"/>
    <cellStyle name="Normal 42" xfId="429" xr:uid="{00000000-0005-0000-0000-0000AE010000}"/>
    <cellStyle name="Normal 43" xfId="430" xr:uid="{00000000-0005-0000-0000-0000AF010000}"/>
    <cellStyle name="Normal 44" xfId="431" xr:uid="{00000000-0005-0000-0000-0000B0010000}"/>
    <cellStyle name="Normal 45" xfId="432" xr:uid="{00000000-0005-0000-0000-0000B1010000}"/>
    <cellStyle name="Normal 46" xfId="433" xr:uid="{00000000-0005-0000-0000-0000B2010000}"/>
    <cellStyle name="Normal 47" xfId="434" xr:uid="{00000000-0005-0000-0000-0000B3010000}"/>
    <cellStyle name="Normal 48" xfId="435" xr:uid="{00000000-0005-0000-0000-0000B4010000}"/>
    <cellStyle name="Normal 49" xfId="436" xr:uid="{00000000-0005-0000-0000-0000B5010000}"/>
    <cellStyle name="Normal 5" xfId="437" xr:uid="{00000000-0005-0000-0000-0000B6010000}"/>
    <cellStyle name="Normal 5 2" xfId="438" xr:uid="{00000000-0005-0000-0000-0000B7010000}"/>
    <cellStyle name="Normal 5 3" xfId="439" xr:uid="{00000000-0005-0000-0000-0000B8010000}"/>
    <cellStyle name="Normal 5 4" xfId="440" xr:uid="{00000000-0005-0000-0000-0000B9010000}"/>
    <cellStyle name="Normal 5_Compo-Civil" xfId="441" xr:uid="{00000000-0005-0000-0000-0000BA010000}"/>
    <cellStyle name="Normal 50" xfId="442" xr:uid="{00000000-0005-0000-0000-0000BB010000}"/>
    <cellStyle name="Normal 51" xfId="443" xr:uid="{00000000-0005-0000-0000-0000BC010000}"/>
    <cellStyle name="Normal 52" xfId="444" xr:uid="{00000000-0005-0000-0000-0000BD010000}"/>
    <cellStyle name="Normal 53" xfId="445" xr:uid="{00000000-0005-0000-0000-0000BE010000}"/>
    <cellStyle name="Normal 54" xfId="446" xr:uid="{00000000-0005-0000-0000-0000BF010000}"/>
    <cellStyle name="Normal 55" xfId="447" xr:uid="{00000000-0005-0000-0000-0000C0010000}"/>
    <cellStyle name="Normal 56" xfId="448" xr:uid="{00000000-0005-0000-0000-0000C1010000}"/>
    <cellStyle name="Normal 57" xfId="449" xr:uid="{00000000-0005-0000-0000-0000C2010000}"/>
    <cellStyle name="Normal 58" xfId="450" xr:uid="{00000000-0005-0000-0000-0000C3010000}"/>
    <cellStyle name="Normal 59" xfId="451" xr:uid="{00000000-0005-0000-0000-0000C4010000}"/>
    <cellStyle name="Normal 6" xfId="452" xr:uid="{00000000-0005-0000-0000-0000C5010000}"/>
    <cellStyle name="Normal 6 2" xfId="453" xr:uid="{00000000-0005-0000-0000-0000C6010000}"/>
    <cellStyle name="Normal 6_Compo-Civil" xfId="454" xr:uid="{00000000-0005-0000-0000-0000C7010000}"/>
    <cellStyle name="Normal 60" xfId="455" xr:uid="{00000000-0005-0000-0000-0000C8010000}"/>
    <cellStyle name="Normal 61" xfId="456" xr:uid="{00000000-0005-0000-0000-0000C9010000}"/>
    <cellStyle name="Normal 62" xfId="457" xr:uid="{00000000-0005-0000-0000-0000CA010000}"/>
    <cellStyle name="Normal 63" xfId="458" xr:uid="{00000000-0005-0000-0000-0000CB010000}"/>
    <cellStyle name="Normal 64" xfId="459" xr:uid="{00000000-0005-0000-0000-0000CC010000}"/>
    <cellStyle name="Normal 65" xfId="460" xr:uid="{00000000-0005-0000-0000-0000CD010000}"/>
    <cellStyle name="Normal 66" xfId="461" xr:uid="{00000000-0005-0000-0000-0000CE010000}"/>
    <cellStyle name="Normal 67" xfId="462" xr:uid="{00000000-0005-0000-0000-0000CF010000}"/>
    <cellStyle name="Normal 68" xfId="463" xr:uid="{00000000-0005-0000-0000-0000D0010000}"/>
    <cellStyle name="Normal 69" xfId="464" xr:uid="{00000000-0005-0000-0000-0000D1010000}"/>
    <cellStyle name="Normal 7" xfId="465" xr:uid="{00000000-0005-0000-0000-0000D2010000}"/>
    <cellStyle name="Normal 7 2" xfId="466" xr:uid="{00000000-0005-0000-0000-0000D3010000}"/>
    <cellStyle name="Normal 7_Compo-Civil" xfId="467" xr:uid="{00000000-0005-0000-0000-0000D4010000}"/>
    <cellStyle name="Normal 70" xfId="468" xr:uid="{00000000-0005-0000-0000-0000D5010000}"/>
    <cellStyle name="Normal 71" xfId="469" xr:uid="{00000000-0005-0000-0000-0000D6010000}"/>
    <cellStyle name="Normal 72" xfId="470" xr:uid="{00000000-0005-0000-0000-0000D7010000}"/>
    <cellStyle name="Normal 73" xfId="471" xr:uid="{00000000-0005-0000-0000-0000D8010000}"/>
    <cellStyle name="Normal 74" xfId="472" xr:uid="{00000000-0005-0000-0000-0000D9010000}"/>
    <cellStyle name="Normal 75" xfId="473" xr:uid="{00000000-0005-0000-0000-0000DA010000}"/>
    <cellStyle name="Normal 76" xfId="474" xr:uid="{00000000-0005-0000-0000-0000DB010000}"/>
    <cellStyle name="Normal 77" xfId="475" xr:uid="{00000000-0005-0000-0000-0000DC010000}"/>
    <cellStyle name="Normal 78" xfId="476" xr:uid="{00000000-0005-0000-0000-0000DD010000}"/>
    <cellStyle name="Normal 79" xfId="477" xr:uid="{00000000-0005-0000-0000-0000DE010000}"/>
    <cellStyle name="Normal 8" xfId="478" xr:uid="{00000000-0005-0000-0000-0000DF010000}"/>
    <cellStyle name="Normal 8 2" xfId="479" xr:uid="{00000000-0005-0000-0000-0000E0010000}"/>
    <cellStyle name="Normal 8 3" xfId="480" xr:uid="{00000000-0005-0000-0000-0000E1010000}"/>
    <cellStyle name="Normal 8 4" xfId="481" xr:uid="{00000000-0005-0000-0000-0000E2010000}"/>
    <cellStyle name="Normal 8_Compo-Civil" xfId="482" xr:uid="{00000000-0005-0000-0000-0000E3010000}"/>
    <cellStyle name="Normal 80" xfId="483" xr:uid="{00000000-0005-0000-0000-0000E4010000}"/>
    <cellStyle name="Normal 81" xfId="484" xr:uid="{00000000-0005-0000-0000-0000E5010000}"/>
    <cellStyle name="Normal 82" xfId="485" xr:uid="{00000000-0005-0000-0000-0000E6010000}"/>
    <cellStyle name="Normal 83" xfId="486" xr:uid="{00000000-0005-0000-0000-0000E7010000}"/>
    <cellStyle name="Normal 84" xfId="487" xr:uid="{00000000-0005-0000-0000-0000E8010000}"/>
    <cellStyle name="Normal 85" xfId="488" xr:uid="{00000000-0005-0000-0000-0000E9010000}"/>
    <cellStyle name="Normal 86" xfId="489" xr:uid="{00000000-0005-0000-0000-0000EA010000}"/>
    <cellStyle name="Normal 87" xfId="490" xr:uid="{00000000-0005-0000-0000-0000EB010000}"/>
    <cellStyle name="Normal 88" xfId="491" xr:uid="{00000000-0005-0000-0000-0000EC010000}"/>
    <cellStyle name="Normal 89" xfId="492" xr:uid="{00000000-0005-0000-0000-0000ED010000}"/>
    <cellStyle name="Normal 9" xfId="493" xr:uid="{00000000-0005-0000-0000-0000EE010000}"/>
    <cellStyle name="Normal 9 2" xfId="494" xr:uid="{00000000-0005-0000-0000-0000EF010000}"/>
    <cellStyle name="Normal 9_Compo-Civil" xfId="495" xr:uid="{00000000-0005-0000-0000-0000F0010000}"/>
    <cellStyle name="Normal 90" xfId="496" xr:uid="{00000000-0005-0000-0000-0000F1010000}"/>
    <cellStyle name="Normal 91" xfId="497" xr:uid="{00000000-0005-0000-0000-0000F2010000}"/>
    <cellStyle name="Normal_5ª Medição 199" xfId="498" xr:uid="{00000000-0005-0000-0000-0000F3010000}"/>
    <cellStyle name="Normal_rol-rua2" xfId="499" xr:uid="{00000000-0005-0000-0000-0000F4010000}"/>
    <cellStyle name="Normal_TRANSPORTE_QUENTE_E_FRIO 2" xfId="500" xr:uid="{00000000-0005-0000-0000-0000F5010000}"/>
    <cellStyle name="Nota 10" xfId="501" xr:uid="{00000000-0005-0000-0000-0000F6010000}"/>
    <cellStyle name="Nota 10 2" xfId="502" xr:uid="{00000000-0005-0000-0000-0000F7010000}"/>
    <cellStyle name="Nota 11" xfId="503" xr:uid="{00000000-0005-0000-0000-0000F8010000}"/>
    <cellStyle name="Nota 11 2" xfId="504" xr:uid="{00000000-0005-0000-0000-0000F9010000}"/>
    <cellStyle name="Nota 12" xfId="505" xr:uid="{00000000-0005-0000-0000-0000FA010000}"/>
    <cellStyle name="Nota 12 2" xfId="506" xr:uid="{00000000-0005-0000-0000-0000FB010000}"/>
    <cellStyle name="Nota 13" xfId="507" xr:uid="{00000000-0005-0000-0000-0000FC010000}"/>
    <cellStyle name="Nota 13 2" xfId="508" xr:uid="{00000000-0005-0000-0000-0000FD010000}"/>
    <cellStyle name="Nota 14" xfId="509" xr:uid="{00000000-0005-0000-0000-0000FE010000}"/>
    <cellStyle name="Nota 14 2" xfId="510" xr:uid="{00000000-0005-0000-0000-0000FF010000}"/>
    <cellStyle name="Nota 15" xfId="511" xr:uid="{00000000-0005-0000-0000-000000020000}"/>
    <cellStyle name="Nota 15 2" xfId="512" xr:uid="{00000000-0005-0000-0000-000001020000}"/>
    <cellStyle name="Nota 16" xfId="513" xr:uid="{00000000-0005-0000-0000-000002020000}"/>
    <cellStyle name="Nota 16 2" xfId="514" xr:uid="{00000000-0005-0000-0000-000003020000}"/>
    <cellStyle name="Nota 17" xfId="515" xr:uid="{00000000-0005-0000-0000-000004020000}"/>
    <cellStyle name="Nota 17 2" xfId="516" xr:uid="{00000000-0005-0000-0000-000005020000}"/>
    <cellStyle name="Nota 18" xfId="517" xr:uid="{00000000-0005-0000-0000-000006020000}"/>
    <cellStyle name="Nota 18 2" xfId="518" xr:uid="{00000000-0005-0000-0000-000007020000}"/>
    <cellStyle name="Nota 19" xfId="519" xr:uid="{00000000-0005-0000-0000-000008020000}"/>
    <cellStyle name="Nota 19 2" xfId="520" xr:uid="{00000000-0005-0000-0000-000009020000}"/>
    <cellStyle name="Nota 2" xfId="521" xr:uid="{00000000-0005-0000-0000-00000A020000}"/>
    <cellStyle name="Nota 2 2" xfId="522" xr:uid="{00000000-0005-0000-0000-00000B020000}"/>
    <cellStyle name="Nota 2 3" xfId="523" xr:uid="{00000000-0005-0000-0000-00000C020000}"/>
    <cellStyle name="Nota 2 4" xfId="524" xr:uid="{00000000-0005-0000-0000-00000D020000}"/>
    <cellStyle name="Nota 2_CIVIL- BL 1-2-3-4-5-6-7-8 " xfId="525" xr:uid="{00000000-0005-0000-0000-00000E020000}"/>
    <cellStyle name="Nota 20" xfId="526" xr:uid="{00000000-0005-0000-0000-00000F020000}"/>
    <cellStyle name="Nota 20 2" xfId="527" xr:uid="{00000000-0005-0000-0000-000010020000}"/>
    <cellStyle name="Nota 21" xfId="528" xr:uid="{00000000-0005-0000-0000-000011020000}"/>
    <cellStyle name="Nota 21 2" xfId="529" xr:uid="{00000000-0005-0000-0000-000012020000}"/>
    <cellStyle name="Nota 22" xfId="530" xr:uid="{00000000-0005-0000-0000-000013020000}"/>
    <cellStyle name="Nota 22 2" xfId="531" xr:uid="{00000000-0005-0000-0000-000014020000}"/>
    <cellStyle name="Nota 23" xfId="532" xr:uid="{00000000-0005-0000-0000-000015020000}"/>
    <cellStyle name="Nota 23 2" xfId="533" xr:uid="{00000000-0005-0000-0000-000016020000}"/>
    <cellStyle name="Nota 24" xfId="534" xr:uid="{00000000-0005-0000-0000-000017020000}"/>
    <cellStyle name="Nota 24 2" xfId="535" xr:uid="{00000000-0005-0000-0000-000018020000}"/>
    <cellStyle name="Nota 25" xfId="536" xr:uid="{00000000-0005-0000-0000-000019020000}"/>
    <cellStyle name="Nota 25 2" xfId="537" xr:uid="{00000000-0005-0000-0000-00001A020000}"/>
    <cellStyle name="Nota 26" xfId="538" xr:uid="{00000000-0005-0000-0000-00001B020000}"/>
    <cellStyle name="Nota 26 2" xfId="539" xr:uid="{00000000-0005-0000-0000-00001C020000}"/>
    <cellStyle name="Nota 27" xfId="540" xr:uid="{00000000-0005-0000-0000-00001D020000}"/>
    <cellStyle name="Nota 27 2" xfId="541" xr:uid="{00000000-0005-0000-0000-00001E020000}"/>
    <cellStyle name="Nota 28" xfId="542" xr:uid="{00000000-0005-0000-0000-00001F020000}"/>
    <cellStyle name="Nota 28 2" xfId="543" xr:uid="{00000000-0005-0000-0000-000020020000}"/>
    <cellStyle name="Nota 29" xfId="544" xr:uid="{00000000-0005-0000-0000-000021020000}"/>
    <cellStyle name="Nota 29 2" xfId="545" xr:uid="{00000000-0005-0000-0000-000022020000}"/>
    <cellStyle name="Nota 3" xfId="546" xr:uid="{00000000-0005-0000-0000-000023020000}"/>
    <cellStyle name="Nota 3 2" xfId="547" xr:uid="{00000000-0005-0000-0000-000024020000}"/>
    <cellStyle name="Nota 30" xfId="548" xr:uid="{00000000-0005-0000-0000-000025020000}"/>
    <cellStyle name="Nota 30 2" xfId="549" xr:uid="{00000000-0005-0000-0000-000026020000}"/>
    <cellStyle name="Nota 31" xfId="550" xr:uid="{00000000-0005-0000-0000-000027020000}"/>
    <cellStyle name="Nota 31 2" xfId="551" xr:uid="{00000000-0005-0000-0000-000028020000}"/>
    <cellStyle name="Nota 32" xfId="552" xr:uid="{00000000-0005-0000-0000-000029020000}"/>
    <cellStyle name="Nota 32 2" xfId="553" xr:uid="{00000000-0005-0000-0000-00002A020000}"/>
    <cellStyle name="Nota 33" xfId="554" xr:uid="{00000000-0005-0000-0000-00002B020000}"/>
    <cellStyle name="Nota 33 2" xfId="555" xr:uid="{00000000-0005-0000-0000-00002C020000}"/>
    <cellStyle name="Nota 34" xfId="556" xr:uid="{00000000-0005-0000-0000-00002D020000}"/>
    <cellStyle name="Nota 34 2" xfId="557" xr:uid="{00000000-0005-0000-0000-00002E020000}"/>
    <cellStyle name="Nota 35" xfId="558" xr:uid="{00000000-0005-0000-0000-00002F020000}"/>
    <cellStyle name="Nota 35 2" xfId="559" xr:uid="{00000000-0005-0000-0000-000030020000}"/>
    <cellStyle name="Nota 36" xfId="560" xr:uid="{00000000-0005-0000-0000-000031020000}"/>
    <cellStyle name="Nota 36 2" xfId="561" xr:uid="{00000000-0005-0000-0000-000032020000}"/>
    <cellStyle name="Nota 37" xfId="562" xr:uid="{00000000-0005-0000-0000-000033020000}"/>
    <cellStyle name="Nota 37 2" xfId="563" xr:uid="{00000000-0005-0000-0000-000034020000}"/>
    <cellStyle name="Nota 38" xfId="564" xr:uid="{00000000-0005-0000-0000-000035020000}"/>
    <cellStyle name="Nota 39" xfId="565" xr:uid="{00000000-0005-0000-0000-000036020000}"/>
    <cellStyle name="Nota 4" xfId="566" xr:uid="{00000000-0005-0000-0000-000037020000}"/>
    <cellStyle name="Nota 4 2" xfId="567" xr:uid="{00000000-0005-0000-0000-000038020000}"/>
    <cellStyle name="Nota 5" xfId="568" xr:uid="{00000000-0005-0000-0000-000039020000}"/>
    <cellStyle name="Nota 5 2" xfId="569" xr:uid="{00000000-0005-0000-0000-00003A020000}"/>
    <cellStyle name="Nota 6" xfId="570" xr:uid="{00000000-0005-0000-0000-00003B020000}"/>
    <cellStyle name="Nota 6 2" xfId="571" xr:uid="{00000000-0005-0000-0000-00003C020000}"/>
    <cellStyle name="Nota 7" xfId="572" xr:uid="{00000000-0005-0000-0000-00003D020000}"/>
    <cellStyle name="Nota 7 2" xfId="573" xr:uid="{00000000-0005-0000-0000-00003E020000}"/>
    <cellStyle name="Nota 8" xfId="574" xr:uid="{00000000-0005-0000-0000-00003F020000}"/>
    <cellStyle name="Nota 8 2" xfId="575" xr:uid="{00000000-0005-0000-0000-000040020000}"/>
    <cellStyle name="Nota 9" xfId="576" xr:uid="{00000000-0005-0000-0000-000041020000}"/>
    <cellStyle name="Nota 9 2" xfId="577" xr:uid="{00000000-0005-0000-0000-000042020000}"/>
    <cellStyle name="Note" xfId="578" xr:uid="{00000000-0005-0000-0000-000043020000}"/>
    <cellStyle name="Output" xfId="579" xr:uid="{00000000-0005-0000-0000-000044020000}"/>
    <cellStyle name="planilhas" xfId="580" xr:uid="{00000000-0005-0000-0000-000045020000}"/>
    <cellStyle name="Porcentagem" xfId="1090" builtinId="5"/>
    <cellStyle name="Porcentagem 10" xfId="581" xr:uid="{00000000-0005-0000-0000-000047020000}"/>
    <cellStyle name="Porcentagem 10 2" xfId="582" xr:uid="{00000000-0005-0000-0000-000048020000}"/>
    <cellStyle name="Porcentagem 11" xfId="583" xr:uid="{00000000-0005-0000-0000-000049020000}"/>
    <cellStyle name="Porcentagem 12" xfId="584" xr:uid="{00000000-0005-0000-0000-00004A020000}"/>
    <cellStyle name="Porcentagem 13" xfId="585" xr:uid="{00000000-0005-0000-0000-00004B020000}"/>
    <cellStyle name="Porcentagem 14" xfId="586" xr:uid="{00000000-0005-0000-0000-00004C020000}"/>
    <cellStyle name="Porcentagem 15" xfId="587" xr:uid="{00000000-0005-0000-0000-00004D020000}"/>
    <cellStyle name="Porcentagem 16" xfId="588" xr:uid="{00000000-0005-0000-0000-00004E020000}"/>
    <cellStyle name="Porcentagem 17" xfId="589" xr:uid="{00000000-0005-0000-0000-00004F020000}"/>
    <cellStyle name="Porcentagem 18" xfId="590" xr:uid="{00000000-0005-0000-0000-000050020000}"/>
    <cellStyle name="Porcentagem 19" xfId="591" xr:uid="{00000000-0005-0000-0000-000051020000}"/>
    <cellStyle name="Porcentagem 2" xfId="592" xr:uid="{00000000-0005-0000-0000-000052020000}"/>
    <cellStyle name="Porcentagem 2 10" xfId="593" xr:uid="{00000000-0005-0000-0000-000053020000}"/>
    <cellStyle name="Porcentagem 2 11" xfId="594" xr:uid="{00000000-0005-0000-0000-000054020000}"/>
    <cellStyle name="Porcentagem 2 12" xfId="595" xr:uid="{00000000-0005-0000-0000-000055020000}"/>
    <cellStyle name="Porcentagem 2 13" xfId="596" xr:uid="{00000000-0005-0000-0000-000056020000}"/>
    <cellStyle name="Porcentagem 2 14" xfId="597" xr:uid="{00000000-0005-0000-0000-000057020000}"/>
    <cellStyle name="Porcentagem 2 15" xfId="598" xr:uid="{00000000-0005-0000-0000-000058020000}"/>
    <cellStyle name="Porcentagem 2 16" xfId="599" xr:uid="{00000000-0005-0000-0000-000059020000}"/>
    <cellStyle name="Porcentagem 2 17" xfId="600" xr:uid="{00000000-0005-0000-0000-00005A020000}"/>
    <cellStyle name="Porcentagem 2 18" xfId="601" xr:uid="{00000000-0005-0000-0000-00005B020000}"/>
    <cellStyle name="Porcentagem 2 19" xfId="602" xr:uid="{00000000-0005-0000-0000-00005C020000}"/>
    <cellStyle name="Porcentagem 2 2" xfId="603" xr:uid="{00000000-0005-0000-0000-00005D020000}"/>
    <cellStyle name="Porcentagem 2 2 2" xfId="604" xr:uid="{00000000-0005-0000-0000-00005E020000}"/>
    <cellStyle name="Porcentagem 2 2 3" xfId="605" xr:uid="{00000000-0005-0000-0000-00005F020000}"/>
    <cellStyle name="Porcentagem 2 20" xfId="606" xr:uid="{00000000-0005-0000-0000-000060020000}"/>
    <cellStyle name="Porcentagem 2 21" xfId="607" xr:uid="{00000000-0005-0000-0000-000061020000}"/>
    <cellStyle name="Porcentagem 2 22" xfId="608" xr:uid="{00000000-0005-0000-0000-000062020000}"/>
    <cellStyle name="Porcentagem 2 23" xfId="609" xr:uid="{00000000-0005-0000-0000-000063020000}"/>
    <cellStyle name="Porcentagem 2 24" xfId="610" xr:uid="{00000000-0005-0000-0000-000064020000}"/>
    <cellStyle name="Porcentagem 2 25" xfId="611" xr:uid="{00000000-0005-0000-0000-000065020000}"/>
    <cellStyle name="Porcentagem 2 26" xfId="612" xr:uid="{00000000-0005-0000-0000-000066020000}"/>
    <cellStyle name="Porcentagem 2 27" xfId="613" xr:uid="{00000000-0005-0000-0000-000067020000}"/>
    <cellStyle name="Porcentagem 2 28" xfId="614" xr:uid="{00000000-0005-0000-0000-000068020000}"/>
    <cellStyle name="Porcentagem 2 29" xfId="615" xr:uid="{00000000-0005-0000-0000-000069020000}"/>
    <cellStyle name="Porcentagem 2 3" xfId="616" xr:uid="{00000000-0005-0000-0000-00006A020000}"/>
    <cellStyle name="Porcentagem 2 30" xfId="617" xr:uid="{00000000-0005-0000-0000-00006B020000}"/>
    <cellStyle name="Porcentagem 2 4" xfId="618" xr:uid="{00000000-0005-0000-0000-00006C020000}"/>
    <cellStyle name="Porcentagem 2 5" xfId="619" xr:uid="{00000000-0005-0000-0000-00006D020000}"/>
    <cellStyle name="Porcentagem 2 6" xfId="620" xr:uid="{00000000-0005-0000-0000-00006E020000}"/>
    <cellStyle name="Porcentagem 2 7" xfId="621" xr:uid="{00000000-0005-0000-0000-00006F020000}"/>
    <cellStyle name="Porcentagem 2 8" xfId="622" xr:uid="{00000000-0005-0000-0000-000070020000}"/>
    <cellStyle name="Porcentagem 2 9" xfId="623" xr:uid="{00000000-0005-0000-0000-000071020000}"/>
    <cellStyle name="Porcentagem 20" xfId="624" xr:uid="{00000000-0005-0000-0000-000072020000}"/>
    <cellStyle name="Porcentagem 21" xfId="625" xr:uid="{00000000-0005-0000-0000-000073020000}"/>
    <cellStyle name="Porcentagem 22" xfId="626" xr:uid="{00000000-0005-0000-0000-000074020000}"/>
    <cellStyle name="Porcentagem 23" xfId="627" xr:uid="{00000000-0005-0000-0000-000075020000}"/>
    <cellStyle name="Porcentagem 24" xfId="628" xr:uid="{00000000-0005-0000-0000-000076020000}"/>
    <cellStyle name="Porcentagem 25" xfId="629" xr:uid="{00000000-0005-0000-0000-000077020000}"/>
    <cellStyle name="Porcentagem 26" xfId="630" xr:uid="{00000000-0005-0000-0000-000078020000}"/>
    <cellStyle name="Porcentagem 27" xfId="631" xr:uid="{00000000-0005-0000-0000-000079020000}"/>
    <cellStyle name="Porcentagem 28" xfId="632" xr:uid="{00000000-0005-0000-0000-00007A020000}"/>
    <cellStyle name="Porcentagem 29" xfId="633" xr:uid="{00000000-0005-0000-0000-00007B020000}"/>
    <cellStyle name="Porcentagem 3" xfId="634" xr:uid="{00000000-0005-0000-0000-00007C020000}"/>
    <cellStyle name="Porcentagem 30" xfId="635" xr:uid="{00000000-0005-0000-0000-00007D020000}"/>
    <cellStyle name="Porcentagem 31" xfId="636" xr:uid="{00000000-0005-0000-0000-00007E020000}"/>
    <cellStyle name="Porcentagem 32" xfId="1092" xr:uid="{C8CCBCED-BDD7-4DA5-9D9E-5B2A893EDE66}"/>
    <cellStyle name="Porcentagem 33" xfId="637" xr:uid="{00000000-0005-0000-0000-00007F020000}"/>
    <cellStyle name="Porcentagem 4" xfId="638" xr:uid="{00000000-0005-0000-0000-000080020000}"/>
    <cellStyle name="Porcentagem 5" xfId="639" xr:uid="{00000000-0005-0000-0000-000081020000}"/>
    <cellStyle name="Porcentagem 6" xfId="640" xr:uid="{00000000-0005-0000-0000-000082020000}"/>
    <cellStyle name="Porcentagem 7" xfId="641" xr:uid="{00000000-0005-0000-0000-000083020000}"/>
    <cellStyle name="Porcentagem 8" xfId="642" xr:uid="{00000000-0005-0000-0000-000084020000}"/>
    <cellStyle name="Porcentagem 9" xfId="643" xr:uid="{00000000-0005-0000-0000-000085020000}"/>
    <cellStyle name="Saída 2" xfId="644" xr:uid="{00000000-0005-0000-0000-000086020000}"/>
    <cellStyle name="Saída 2 2" xfId="645" xr:uid="{00000000-0005-0000-0000-000087020000}"/>
    <cellStyle name="Saída 2 3" xfId="646" xr:uid="{00000000-0005-0000-0000-000088020000}"/>
    <cellStyle name="Saída 2_CIVIL- BL 1-2-3-4-5-6-7-8 " xfId="647" xr:uid="{00000000-0005-0000-0000-000089020000}"/>
    <cellStyle name="Saída 3" xfId="648" xr:uid="{00000000-0005-0000-0000-00008A020000}"/>
    <cellStyle name="Saída 4" xfId="649" xr:uid="{00000000-0005-0000-0000-00008B020000}"/>
    <cellStyle name="Saída 5" xfId="650" xr:uid="{00000000-0005-0000-0000-00008C020000}"/>
    <cellStyle name="Saída 6" xfId="651" xr:uid="{00000000-0005-0000-0000-00008D020000}"/>
    <cellStyle name="Separador de milhares 10" xfId="652" xr:uid="{00000000-0005-0000-0000-00008E020000}"/>
    <cellStyle name="Separador de milhares 10 2" xfId="653" xr:uid="{00000000-0005-0000-0000-00008F020000}"/>
    <cellStyle name="Separador de milhares 10 2 2" xfId="654" xr:uid="{00000000-0005-0000-0000-000090020000}"/>
    <cellStyle name="Separador de milhares 10 2 2 2" xfId="655" xr:uid="{00000000-0005-0000-0000-000091020000}"/>
    <cellStyle name="Separador de milhares 10 2 3" xfId="656" xr:uid="{00000000-0005-0000-0000-000092020000}"/>
    <cellStyle name="Separador de milhares 11" xfId="657" xr:uid="{00000000-0005-0000-0000-000093020000}"/>
    <cellStyle name="Separador de milhares 11 2" xfId="658" xr:uid="{00000000-0005-0000-0000-000094020000}"/>
    <cellStyle name="Separador de milhares 11 2 2" xfId="659" xr:uid="{00000000-0005-0000-0000-000095020000}"/>
    <cellStyle name="Separador de milhares 11 2 2 2" xfId="660" xr:uid="{00000000-0005-0000-0000-000096020000}"/>
    <cellStyle name="Separador de milhares 11 2 3" xfId="661" xr:uid="{00000000-0005-0000-0000-000097020000}"/>
    <cellStyle name="Separador de milhares 12" xfId="662" xr:uid="{00000000-0005-0000-0000-000098020000}"/>
    <cellStyle name="Separador de milhares 12 2" xfId="663" xr:uid="{00000000-0005-0000-0000-000099020000}"/>
    <cellStyle name="Separador de milhares 12 2 2" xfId="664" xr:uid="{00000000-0005-0000-0000-00009A020000}"/>
    <cellStyle name="Separador de milhares 12 2 2 2" xfId="665" xr:uid="{00000000-0005-0000-0000-00009B020000}"/>
    <cellStyle name="Separador de milhares 12 2 3" xfId="666" xr:uid="{00000000-0005-0000-0000-00009C020000}"/>
    <cellStyle name="Separador de milhares 13" xfId="667" xr:uid="{00000000-0005-0000-0000-00009D020000}"/>
    <cellStyle name="Separador de milhares 13 2" xfId="668" xr:uid="{00000000-0005-0000-0000-00009E020000}"/>
    <cellStyle name="Separador de milhares 13 2 2" xfId="669" xr:uid="{00000000-0005-0000-0000-00009F020000}"/>
    <cellStyle name="Separador de milhares 13 2 2 2" xfId="670" xr:uid="{00000000-0005-0000-0000-0000A0020000}"/>
    <cellStyle name="Separador de milhares 13 2 3" xfId="671" xr:uid="{00000000-0005-0000-0000-0000A1020000}"/>
    <cellStyle name="Separador de milhares 14" xfId="672" xr:uid="{00000000-0005-0000-0000-0000A2020000}"/>
    <cellStyle name="Separador de milhares 14 2" xfId="673" xr:uid="{00000000-0005-0000-0000-0000A3020000}"/>
    <cellStyle name="Separador de milhares 14 2 2" xfId="674" xr:uid="{00000000-0005-0000-0000-0000A4020000}"/>
    <cellStyle name="Separador de milhares 14 2 2 2" xfId="675" xr:uid="{00000000-0005-0000-0000-0000A5020000}"/>
    <cellStyle name="Separador de milhares 14 2 3" xfId="676" xr:uid="{00000000-0005-0000-0000-0000A6020000}"/>
    <cellStyle name="Separador de milhares 15" xfId="677" xr:uid="{00000000-0005-0000-0000-0000A7020000}"/>
    <cellStyle name="Separador de milhares 15 2" xfId="678" xr:uid="{00000000-0005-0000-0000-0000A8020000}"/>
    <cellStyle name="Separador de milhares 15 2 2" xfId="679" xr:uid="{00000000-0005-0000-0000-0000A9020000}"/>
    <cellStyle name="Separador de milhares 15 2 2 2" xfId="680" xr:uid="{00000000-0005-0000-0000-0000AA020000}"/>
    <cellStyle name="Separador de milhares 15 2 3" xfId="681" xr:uid="{00000000-0005-0000-0000-0000AB020000}"/>
    <cellStyle name="Separador de milhares 16" xfId="682" xr:uid="{00000000-0005-0000-0000-0000AC020000}"/>
    <cellStyle name="Separador de milhares 16 2" xfId="683" xr:uid="{00000000-0005-0000-0000-0000AD020000}"/>
    <cellStyle name="Separador de milhares 16 2 2" xfId="684" xr:uid="{00000000-0005-0000-0000-0000AE020000}"/>
    <cellStyle name="Separador de milhares 16 2 2 2" xfId="685" xr:uid="{00000000-0005-0000-0000-0000AF020000}"/>
    <cellStyle name="Separador de milhares 16 2 3" xfId="686" xr:uid="{00000000-0005-0000-0000-0000B0020000}"/>
    <cellStyle name="Separador de milhares 17" xfId="687" xr:uid="{00000000-0005-0000-0000-0000B1020000}"/>
    <cellStyle name="Separador de milhares 17 2" xfId="688" xr:uid="{00000000-0005-0000-0000-0000B2020000}"/>
    <cellStyle name="Separador de milhares 17 2 2" xfId="689" xr:uid="{00000000-0005-0000-0000-0000B3020000}"/>
    <cellStyle name="Separador de milhares 17 2 2 2" xfId="690" xr:uid="{00000000-0005-0000-0000-0000B4020000}"/>
    <cellStyle name="Separador de milhares 17 2 3" xfId="691" xr:uid="{00000000-0005-0000-0000-0000B5020000}"/>
    <cellStyle name="Separador de milhares 18" xfId="692" xr:uid="{00000000-0005-0000-0000-0000B6020000}"/>
    <cellStyle name="Separador de milhares 18 2" xfId="693" xr:uid="{00000000-0005-0000-0000-0000B7020000}"/>
    <cellStyle name="Separador de milhares 18 2 2" xfId="694" xr:uid="{00000000-0005-0000-0000-0000B8020000}"/>
    <cellStyle name="Separador de milhares 18 2 2 2" xfId="695" xr:uid="{00000000-0005-0000-0000-0000B9020000}"/>
    <cellStyle name="Separador de milhares 18 2 3" xfId="696" xr:uid="{00000000-0005-0000-0000-0000BA020000}"/>
    <cellStyle name="Separador de milhares 19" xfId="697" xr:uid="{00000000-0005-0000-0000-0000BB020000}"/>
    <cellStyle name="Separador de milhares 19 2" xfId="698" xr:uid="{00000000-0005-0000-0000-0000BC020000}"/>
    <cellStyle name="Separador de milhares 19 2 2" xfId="699" xr:uid="{00000000-0005-0000-0000-0000BD020000}"/>
    <cellStyle name="Separador de milhares 19 2 2 2" xfId="700" xr:uid="{00000000-0005-0000-0000-0000BE020000}"/>
    <cellStyle name="Separador de milhares 19 2 3" xfId="701" xr:uid="{00000000-0005-0000-0000-0000BF020000}"/>
    <cellStyle name="Separador de milhares 2 10" xfId="702" xr:uid="{00000000-0005-0000-0000-0000C0020000}"/>
    <cellStyle name="Separador de milhares 2 10 2" xfId="703" xr:uid="{00000000-0005-0000-0000-0000C1020000}"/>
    <cellStyle name="Separador de milhares 2 10 2 2" xfId="704" xr:uid="{00000000-0005-0000-0000-0000C2020000}"/>
    <cellStyle name="Separador de milhares 2 10 2 2 2" xfId="705" xr:uid="{00000000-0005-0000-0000-0000C3020000}"/>
    <cellStyle name="Separador de milhares 2 10 2 3" xfId="706" xr:uid="{00000000-0005-0000-0000-0000C4020000}"/>
    <cellStyle name="Separador de milhares 2 11" xfId="707" xr:uid="{00000000-0005-0000-0000-0000C5020000}"/>
    <cellStyle name="Separador de milhares 2 11 2" xfId="708" xr:uid="{00000000-0005-0000-0000-0000C6020000}"/>
    <cellStyle name="Separador de milhares 2 11 2 2" xfId="709" xr:uid="{00000000-0005-0000-0000-0000C7020000}"/>
    <cellStyle name="Separador de milhares 2 11 2 2 2" xfId="710" xr:uid="{00000000-0005-0000-0000-0000C8020000}"/>
    <cellStyle name="Separador de milhares 2 11 2 3" xfId="711" xr:uid="{00000000-0005-0000-0000-0000C9020000}"/>
    <cellStyle name="Separador de milhares 2 12" xfId="712" xr:uid="{00000000-0005-0000-0000-0000CA020000}"/>
    <cellStyle name="Separador de milhares 2 12 2" xfId="713" xr:uid="{00000000-0005-0000-0000-0000CB020000}"/>
    <cellStyle name="Separador de milhares 2 12 2 2" xfId="714" xr:uid="{00000000-0005-0000-0000-0000CC020000}"/>
    <cellStyle name="Separador de milhares 2 12 2 2 2" xfId="715" xr:uid="{00000000-0005-0000-0000-0000CD020000}"/>
    <cellStyle name="Separador de milhares 2 12 2 3" xfId="716" xr:uid="{00000000-0005-0000-0000-0000CE020000}"/>
    <cellStyle name="Separador de milhares 2 13" xfId="717" xr:uid="{00000000-0005-0000-0000-0000CF020000}"/>
    <cellStyle name="Separador de milhares 2 13 2" xfId="718" xr:uid="{00000000-0005-0000-0000-0000D0020000}"/>
    <cellStyle name="Separador de milhares 2 13 2 2" xfId="719" xr:uid="{00000000-0005-0000-0000-0000D1020000}"/>
    <cellStyle name="Separador de milhares 2 13 2 2 2" xfId="720" xr:uid="{00000000-0005-0000-0000-0000D2020000}"/>
    <cellStyle name="Separador de milhares 2 13 2 3" xfId="721" xr:uid="{00000000-0005-0000-0000-0000D3020000}"/>
    <cellStyle name="Separador de milhares 2 14" xfId="722" xr:uid="{00000000-0005-0000-0000-0000D4020000}"/>
    <cellStyle name="Separador de milhares 2 14 2" xfId="723" xr:uid="{00000000-0005-0000-0000-0000D5020000}"/>
    <cellStyle name="Separador de milhares 2 14 2 2" xfId="724" xr:uid="{00000000-0005-0000-0000-0000D6020000}"/>
    <cellStyle name="Separador de milhares 2 14 2 2 2" xfId="725" xr:uid="{00000000-0005-0000-0000-0000D7020000}"/>
    <cellStyle name="Separador de milhares 2 14 2 3" xfId="726" xr:uid="{00000000-0005-0000-0000-0000D8020000}"/>
    <cellStyle name="Separador de milhares 2 15" xfId="727" xr:uid="{00000000-0005-0000-0000-0000D9020000}"/>
    <cellStyle name="Separador de milhares 2 15 2" xfId="728" xr:uid="{00000000-0005-0000-0000-0000DA020000}"/>
    <cellStyle name="Separador de milhares 2 15 2 2" xfId="729" xr:uid="{00000000-0005-0000-0000-0000DB020000}"/>
    <cellStyle name="Separador de milhares 2 15 2 2 2" xfId="730" xr:uid="{00000000-0005-0000-0000-0000DC020000}"/>
    <cellStyle name="Separador de milhares 2 15 2 3" xfId="731" xr:uid="{00000000-0005-0000-0000-0000DD020000}"/>
    <cellStyle name="Separador de milhares 2 16" xfId="732" xr:uid="{00000000-0005-0000-0000-0000DE020000}"/>
    <cellStyle name="Separador de milhares 2 16 2" xfId="733" xr:uid="{00000000-0005-0000-0000-0000DF020000}"/>
    <cellStyle name="Separador de milhares 2 16 2 2" xfId="734" xr:uid="{00000000-0005-0000-0000-0000E0020000}"/>
    <cellStyle name="Separador de milhares 2 16 2 2 2" xfId="735" xr:uid="{00000000-0005-0000-0000-0000E1020000}"/>
    <cellStyle name="Separador de milhares 2 16 2 3" xfId="736" xr:uid="{00000000-0005-0000-0000-0000E2020000}"/>
    <cellStyle name="Separador de milhares 2 17" xfId="737" xr:uid="{00000000-0005-0000-0000-0000E3020000}"/>
    <cellStyle name="Separador de milhares 2 17 2" xfId="738" xr:uid="{00000000-0005-0000-0000-0000E4020000}"/>
    <cellStyle name="Separador de milhares 2 17 2 2" xfId="739" xr:uid="{00000000-0005-0000-0000-0000E5020000}"/>
    <cellStyle name="Separador de milhares 2 17 2 2 2" xfId="740" xr:uid="{00000000-0005-0000-0000-0000E6020000}"/>
    <cellStyle name="Separador de milhares 2 17 2 3" xfId="741" xr:uid="{00000000-0005-0000-0000-0000E7020000}"/>
    <cellStyle name="Separador de milhares 2 18" xfId="742" xr:uid="{00000000-0005-0000-0000-0000E8020000}"/>
    <cellStyle name="Separador de milhares 2 18 2" xfId="743" xr:uid="{00000000-0005-0000-0000-0000E9020000}"/>
    <cellStyle name="Separador de milhares 2 18 2 2" xfId="744" xr:uid="{00000000-0005-0000-0000-0000EA020000}"/>
    <cellStyle name="Separador de milhares 2 18 2 2 2" xfId="745" xr:uid="{00000000-0005-0000-0000-0000EB020000}"/>
    <cellStyle name="Separador de milhares 2 18 2 3" xfId="746" xr:uid="{00000000-0005-0000-0000-0000EC020000}"/>
    <cellStyle name="Separador de milhares 2 19" xfId="747" xr:uid="{00000000-0005-0000-0000-0000ED020000}"/>
    <cellStyle name="Separador de milhares 2 19 2" xfId="748" xr:uid="{00000000-0005-0000-0000-0000EE020000}"/>
    <cellStyle name="Separador de milhares 2 19 2 2" xfId="749" xr:uid="{00000000-0005-0000-0000-0000EF020000}"/>
    <cellStyle name="Separador de milhares 2 19 2 2 2" xfId="750" xr:uid="{00000000-0005-0000-0000-0000F0020000}"/>
    <cellStyle name="Separador de milhares 2 19 2 3" xfId="751" xr:uid="{00000000-0005-0000-0000-0000F1020000}"/>
    <cellStyle name="Separador de milhares 2 2" xfId="752" xr:uid="{00000000-0005-0000-0000-0000F2020000}"/>
    <cellStyle name="Separador de milhares 2 2 2" xfId="753" xr:uid="{00000000-0005-0000-0000-0000F3020000}"/>
    <cellStyle name="Separador de milhares 2 2 3" xfId="754" xr:uid="{00000000-0005-0000-0000-0000F4020000}"/>
    <cellStyle name="Separador de milhares 2 2 3 2" xfId="755" xr:uid="{00000000-0005-0000-0000-0000F5020000}"/>
    <cellStyle name="Separador de milhares 2 2 3 2 2" xfId="756" xr:uid="{00000000-0005-0000-0000-0000F6020000}"/>
    <cellStyle name="Separador de milhares 2 2 3 3" xfId="757" xr:uid="{00000000-0005-0000-0000-0000F7020000}"/>
    <cellStyle name="Separador de milhares 2 20" xfId="758" xr:uid="{00000000-0005-0000-0000-0000F8020000}"/>
    <cellStyle name="Separador de milhares 2 20 2" xfId="759" xr:uid="{00000000-0005-0000-0000-0000F9020000}"/>
    <cellStyle name="Separador de milhares 2 20 2 2" xfId="760" xr:uid="{00000000-0005-0000-0000-0000FA020000}"/>
    <cellStyle name="Separador de milhares 2 20 2 2 2" xfId="761" xr:uid="{00000000-0005-0000-0000-0000FB020000}"/>
    <cellStyle name="Separador de milhares 2 20 2 3" xfId="762" xr:uid="{00000000-0005-0000-0000-0000FC020000}"/>
    <cellStyle name="Separador de milhares 2 21" xfId="763" xr:uid="{00000000-0005-0000-0000-0000FD020000}"/>
    <cellStyle name="Separador de milhares 2 21 2" xfId="764" xr:uid="{00000000-0005-0000-0000-0000FE020000}"/>
    <cellStyle name="Separador de milhares 2 21 2 2" xfId="765" xr:uid="{00000000-0005-0000-0000-0000FF020000}"/>
    <cellStyle name="Separador de milhares 2 21 2 2 2" xfId="766" xr:uid="{00000000-0005-0000-0000-000000030000}"/>
    <cellStyle name="Separador de milhares 2 21 2 3" xfId="767" xr:uid="{00000000-0005-0000-0000-000001030000}"/>
    <cellStyle name="Separador de milhares 2 22" xfId="768" xr:uid="{00000000-0005-0000-0000-000002030000}"/>
    <cellStyle name="Separador de milhares 2 22 2" xfId="769" xr:uid="{00000000-0005-0000-0000-000003030000}"/>
    <cellStyle name="Separador de milhares 2 22 2 2" xfId="770" xr:uid="{00000000-0005-0000-0000-000004030000}"/>
    <cellStyle name="Separador de milhares 2 22 2 2 2" xfId="771" xr:uid="{00000000-0005-0000-0000-000005030000}"/>
    <cellStyle name="Separador de milhares 2 22 2 3" xfId="772" xr:uid="{00000000-0005-0000-0000-000006030000}"/>
    <cellStyle name="Separador de milhares 2 23" xfId="773" xr:uid="{00000000-0005-0000-0000-000007030000}"/>
    <cellStyle name="Separador de milhares 2 23 2" xfId="774" xr:uid="{00000000-0005-0000-0000-000008030000}"/>
    <cellStyle name="Separador de milhares 2 23 2 2" xfId="775" xr:uid="{00000000-0005-0000-0000-000009030000}"/>
    <cellStyle name="Separador de milhares 2 23 2 2 2" xfId="776" xr:uid="{00000000-0005-0000-0000-00000A030000}"/>
    <cellStyle name="Separador de milhares 2 23 2 3" xfId="777" xr:uid="{00000000-0005-0000-0000-00000B030000}"/>
    <cellStyle name="Separador de milhares 2 24" xfId="778" xr:uid="{00000000-0005-0000-0000-00000C030000}"/>
    <cellStyle name="Separador de milhares 2 24 2" xfId="779" xr:uid="{00000000-0005-0000-0000-00000D030000}"/>
    <cellStyle name="Separador de milhares 2 24 2 2" xfId="780" xr:uid="{00000000-0005-0000-0000-00000E030000}"/>
    <cellStyle name="Separador de milhares 2 24 2 2 2" xfId="781" xr:uid="{00000000-0005-0000-0000-00000F030000}"/>
    <cellStyle name="Separador de milhares 2 24 2 3" xfId="782" xr:uid="{00000000-0005-0000-0000-000010030000}"/>
    <cellStyle name="Separador de milhares 2 25" xfId="783" xr:uid="{00000000-0005-0000-0000-000011030000}"/>
    <cellStyle name="Separador de milhares 2 25 2" xfId="784" xr:uid="{00000000-0005-0000-0000-000012030000}"/>
    <cellStyle name="Separador de milhares 2 25 2 2" xfId="785" xr:uid="{00000000-0005-0000-0000-000013030000}"/>
    <cellStyle name="Separador de milhares 2 25 2 2 2" xfId="786" xr:uid="{00000000-0005-0000-0000-000014030000}"/>
    <cellStyle name="Separador de milhares 2 25 2 3" xfId="787" xr:uid="{00000000-0005-0000-0000-000015030000}"/>
    <cellStyle name="Separador de milhares 2 26" xfId="788" xr:uid="{00000000-0005-0000-0000-000016030000}"/>
    <cellStyle name="Separador de milhares 2 26 2" xfId="789" xr:uid="{00000000-0005-0000-0000-000017030000}"/>
    <cellStyle name="Separador de milhares 2 26 2 2" xfId="790" xr:uid="{00000000-0005-0000-0000-000018030000}"/>
    <cellStyle name="Separador de milhares 2 26 2 2 2" xfId="791" xr:uid="{00000000-0005-0000-0000-000019030000}"/>
    <cellStyle name="Separador de milhares 2 26 2 3" xfId="792" xr:uid="{00000000-0005-0000-0000-00001A030000}"/>
    <cellStyle name="Separador de milhares 2 27" xfId="793" xr:uid="{00000000-0005-0000-0000-00001B030000}"/>
    <cellStyle name="Separador de milhares 2 27 2" xfId="794" xr:uid="{00000000-0005-0000-0000-00001C030000}"/>
    <cellStyle name="Separador de milhares 2 27 2 2" xfId="795" xr:uid="{00000000-0005-0000-0000-00001D030000}"/>
    <cellStyle name="Separador de milhares 2 27 2 2 2" xfId="796" xr:uid="{00000000-0005-0000-0000-00001E030000}"/>
    <cellStyle name="Separador de milhares 2 27 2 3" xfId="797" xr:uid="{00000000-0005-0000-0000-00001F030000}"/>
    <cellStyle name="Separador de milhares 2 28" xfId="798" xr:uid="{00000000-0005-0000-0000-000020030000}"/>
    <cellStyle name="Separador de milhares 2 28 2" xfId="799" xr:uid="{00000000-0005-0000-0000-000021030000}"/>
    <cellStyle name="Separador de milhares 2 28 2 2" xfId="800" xr:uid="{00000000-0005-0000-0000-000022030000}"/>
    <cellStyle name="Separador de milhares 2 28 2 2 2" xfId="801" xr:uid="{00000000-0005-0000-0000-000023030000}"/>
    <cellStyle name="Separador de milhares 2 28 2 3" xfId="802" xr:uid="{00000000-0005-0000-0000-000024030000}"/>
    <cellStyle name="Separador de milhares 2 29" xfId="803" xr:uid="{00000000-0005-0000-0000-000025030000}"/>
    <cellStyle name="Separador de milhares 2 29 2" xfId="804" xr:uid="{00000000-0005-0000-0000-000026030000}"/>
    <cellStyle name="Separador de milhares 2 29 2 2" xfId="805" xr:uid="{00000000-0005-0000-0000-000027030000}"/>
    <cellStyle name="Separador de milhares 2 29 2 2 2" xfId="806" xr:uid="{00000000-0005-0000-0000-000028030000}"/>
    <cellStyle name="Separador de milhares 2 29 2 3" xfId="807" xr:uid="{00000000-0005-0000-0000-000029030000}"/>
    <cellStyle name="Separador de milhares 2 3" xfId="808" xr:uid="{00000000-0005-0000-0000-00002A030000}"/>
    <cellStyle name="Separador de milhares 2 3 2" xfId="809" xr:uid="{00000000-0005-0000-0000-00002B030000}"/>
    <cellStyle name="Separador de milhares 2 3 2 2" xfId="810" xr:uid="{00000000-0005-0000-0000-00002C030000}"/>
    <cellStyle name="Separador de milhares 2 3 2 2 2" xfId="811" xr:uid="{00000000-0005-0000-0000-00002D030000}"/>
    <cellStyle name="Separador de milhares 2 3 2 3" xfId="812" xr:uid="{00000000-0005-0000-0000-00002E030000}"/>
    <cellStyle name="Separador de milhares 2 30" xfId="813" xr:uid="{00000000-0005-0000-0000-00002F030000}"/>
    <cellStyle name="Separador de milhares 2 30 2" xfId="814" xr:uid="{00000000-0005-0000-0000-000030030000}"/>
    <cellStyle name="Separador de milhares 2 30 2 2" xfId="815" xr:uid="{00000000-0005-0000-0000-000031030000}"/>
    <cellStyle name="Separador de milhares 2 30 2 2 2" xfId="816" xr:uid="{00000000-0005-0000-0000-000032030000}"/>
    <cellStyle name="Separador de milhares 2 30 2 3" xfId="817" xr:uid="{00000000-0005-0000-0000-000033030000}"/>
    <cellStyle name="Separador de milhares 2 31" xfId="818" xr:uid="{00000000-0005-0000-0000-000034030000}"/>
    <cellStyle name="Separador de milhares 2 31 2" xfId="819" xr:uid="{00000000-0005-0000-0000-000035030000}"/>
    <cellStyle name="Separador de milhares 2 31 2 2" xfId="820" xr:uid="{00000000-0005-0000-0000-000036030000}"/>
    <cellStyle name="Separador de milhares 2 31 2 2 2" xfId="821" xr:uid="{00000000-0005-0000-0000-000037030000}"/>
    <cellStyle name="Separador de milhares 2 31 2 3" xfId="822" xr:uid="{00000000-0005-0000-0000-000038030000}"/>
    <cellStyle name="Separador de milhares 2 4" xfId="823" xr:uid="{00000000-0005-0000-0000-000039030000}"/>
    <cellStyle name="Separador de milhares 2 4 2" xfId="824" xr:uid="{00000000-0005-0000-0000-00003A030000}"/>
    <cellStyle name="Separador de milhares 2 4 2 2" xfId="825" xr:uid="{00000000-0005-0000-0000-00003B030000}"/>
    <cellStyle name="Separador de milhares 2 4 2 2 2" xfId="826" xr:uid="{00000000-0005-0000-0000-00003C030000}"/>
    <cellStyle name="Separador de milhares 2 4 2 3" xfId="827" xr:uid="{00000000-0005-0000-0000-00003D030000}"/>
    <cellStyle name="Separador de milhares 2 5" xfId="828" xr:uid="{00000000-0005-0000-0000-00003E030000}"/>
    <cellStyle name="Separador de milhares 2 5 2" xfId="829" xr:uid="{00000000-0005-0000-0000-00003F030000}"/>
    <cellStyle name="Separador de milhares 2 5 2 2" xfId="830" xr:uid="{00000000-0005-0000-0000-000040030000}"/>
    <cellStyle name="Separador de milhares 2 5 2 2 2" xfId="831" xr:uid="{00000000-0005-0000-0000-000041030000}"/>
    <cellStyle name="Separador de milhares 2 5 2 3" xfId="832" xr:uid="{00000000-0005-0000-0000-000042030000}"/>
    <cellStyle name="Separador de milhares 2 6" xfId="833" xr:uid="{00000000-0005-0000-0000-000043030000}"/>
    <cellStyle name="Separador de milhares 2 6 2" xfId="834" xr:uid="{00000000-0005-0000-0000-000044030000}"/>
    <cellStyle name="Separador de milhares 2 6 2 2" xfId="835" xr:uid="{00000000-0005-0000-0000-000045030000}"/>
    <cellStyle name="Separador de milhares 2 6 2 2 2" xfId="836" xr:uid="{00000000-0005-0000-0000-000046030000}"/>
    <cellStyle name="Separador de milhares 2 6 2 3" xfId="837" xr:uid="{00000000-0005-0000-0000-000047030000}"/>
    <cellStyle name="Separador de milhares 2 7" xfId="838" xr:uid="{00000000-0005-0000-0000-000048030000}"/>
    <cellStyle name="Separador de milhares 2 7 2" xfId="839" xr:uid="{00000000-0005-0000-0000-000049030000}"/>
    <cellStyle name="Separador de milhares 2 7 2 2" xfId="840" xr:uid="{00000000-0005-0000-0000-00004A030000}"/>
    <cellStyle name="Separador de milhares 2 7 2 2 2" xfId="841" xr:uid="{00000000-0005-0000-0000-00004B030000}"/>
    <cellStyle name="Separador de milhares 2 7 2 3" xfId="842" xr:uid="{00000000-0005-0000-0000-00004C030000}"/>
    <cellStyle name="Separador de milhares 2 8" xfId="843" xr:uid="{00000000-0005-0000-0000-00004D030000}"/>
    <cellStyle name="Separador de milhares 2 8 2" xfId="844" xr:uid="{00000000-0005-0000-0000-00004E030000}"/>
    <cellStyle name="Separador de milhares 2 8 2 2" xfId="845" xr:uid="{00000000-0005-0000-0000-00004F030000}"/>
    <cellStyle name="Separador de milhares 2 8 2 2 2" xfId="846" xr:uid="{00000000-0005-0000-0000-000050030000}"/>
    <cellStyle name="Separador de milhares 2 8 2 3" xfId="847" xr:uid="{00000000-0005-0000-0000-000051030000}"/>
    <cellStyle name="Separador de milhares 2 9" xfId="848" xr:uid="{00000000-0005-0000-0000-000052030000}"/>
    <cellStyle name="Separador de milhares 2 9 2" xfId="849" xr:uid="{00000000-0005-0000-0000-000053030000}"/>
    <cellStyle name="Separador de milhares 2 9 2 2" xfId="850" xr:uid="{00000000-0005-0000-0000-000054030000}"/>
    <cellStyle name="Separador de milhares 2 9 2 2 2" xfId="851" xr:uid="{00000000-0005-0000-0000-000055030000}"/>
    <cellStyle name="Separador de milhares 2 9 2 3" xfId="852" xr:uid="{00000000-0005-0000-0000-000056030000}"/>
    <cellStyle name="Separador de milhares 20" xfId="853" xr:uid="{00000000-0005-0000-0000-000057030000}"/>
    <cellStyle name="Separador de milhares 20 2" xfId="854" xr:uid="{00000000-0005-0000-0000-000058030000}"/>
    <cellStyle name="Separador de milhares 20 2 2" xfId="855" xr:uid="{00000000-0005-0000-0000-000059030000}"/>
    <cellStyle name="Separador de milhares 20 2 2 2" xfId="856" xr:uid="{00000000-0005-0000-0000-00005A030000}"/>
    <cellStyle name="Separador de milhares 20 2 3" xfId="857" xr:uid="{00000000-0005-0000-0000-00005B030000}"/>
    <cellStyle name="Separador de milhares 21" xfId="858" xr:uid="{00000000-0005-0000-0000-00005C030000}"/>
    <cellStyle name="Separador de milhares 21 2" xfId="859" xr:uid="{00000000-0005-0000-0000-00005D030000}"/>
    <cellStyle name="Separador de milhares 21 2 2" xfId="860" xr:uid="{00000000-0005-0000-0000-00005E030000}"/>
    <cellStyle name="Separador de milhares 21 2 2 2" xfId="861" xr:uid="{00000000-0005-0000-0000-00005F030000}"/>
    <cellStyle name="Separador de milhares 21 2 3" xfId="862" xr:uid="{00000000-0005-0000-0000-000060030000}"/>
    <cellStyle name="Separador de milhares 22" xfId="863" xr:uid="{00000000-0005-0000-0000-000061030000}"/>
    <cellStyle name="Separador de milhares 22 2" xfId="864" xr:uid="{00000000-0005-0000-0000-000062030000}"/>
    <cellStyle name="Separador de milhares 22 2 2" xfId="865" xr:uid="{00000000-0005-0000-0000-000063030000}"/>
    <cellStyle name="Separador de milhares 22 2 2 2" xfId="866" xr:uid="{00000000-0005-0000-0000-000064030000}"/>
    <cellStyle name="Separador de milhares 22 2 3" xfId="867" xr:uid="{00000000-0005-0000-0000-000065030000}"/>
    <cellStyle name="Separador de milhares 23" xfId="868" xr:uid="{00000000-0005-0000-0000-000066030000}"/>
    <cellStyle name="Separador de milhares 23 2" xfId="869" xr:uid="{00000000-0005-0000-0000-000067030000}"/>
    <cellStyle name="Separador de milhares 23 2 2" xfId="870" xr:uid="{00000000-0005-0000-0000-000068030000}"/>
    <cellStyle name="Separador de milhares 23 2 2 2" xfId="871" xr:uid="{00000000-0005-0000-0000-000069030000}"/>
    <cellStyle name="Separador de milhares 23 2 3" xfId="872" xr:uid="{00000000-0005-0000-0000-00006A030000}"/>
    <cellStyle name="Separador de milhares 24" xfId="873" xr:uid="{00000000-0005-0000-0000-00006B030000}"/>
    <cellStyle name="Separador de milhares 24 2" xfId="874" xr:uid="{00000000-0005-0000-0000-00006C030000}"/>
    <cellStyle name="Separador de milhares 24 2 2" xfId="875" xr:uid="{00000000-0005-0000-0000-00006D030000}"/>
    <cellStyle name="Separador de milhares 24 2 2 2" xfId="876" xr:uid="{00000000-0005-0000-0000-00006E030000}"/>
    <cellStyle name="Separador de milhares 24 2 3" xfId="877" xr:uid="{00000000-0005-0000-0000-00006F030000}"/>
    <cellStyle name="Separador de milhares 25" xfId="878" xr:uid="{00000000-0005-0000-0000-000070030000}"/>
    <cellStyle name="Separador de milhares 25 2" xfId="879" xr:uid="{00000000-0005-0000-0000-000071030000}"/>
    <cellStyle name="Separador de milhares 25 2 2" xfId="880" xr:uid="{00000000-0005-0000-0000-000072030000}"/>
    <cellStyle name="Separador de milhares 25 2 2 2" xfId="881" xr:uid="{00000000-0005-0000-0000-000073030000}"/>
    <cellStyle name="Separador de milhares 25 2 3" xfId="882" xr:uid="{00000000-0005-0000-0000-000074030000}"/>
    <cellStyle name="Separador de milhares 26" xfId="883" xr:uid="{00000000-0005-0000-0000-000075030000}"/>
    <cellStyle name="Separador de milhares 26 2" xfId="884" xr:uid="{00000000-0005-0000-0000-000076030000}"/>
    <cellStyle name="Separador de milhares 26 2 2" xfId="885" xr:uid="{00000000-0005-0000-0000-000077030000}"/>
    <cellStyle name="Separador de milhares 26 2 2 2" xfId="886" xr:uid="{00000000-0005-0000-0000-000078030000}"/>
    <cellStyle name="Separador de milhares 26 2 3" xfId="887" xr:uid="{00000000-0005-0000-0000-000079030000}"/>
    <cellStyle name="Separador de milhares 27" xfId="888" xr:uid="{00000000-0005-0000-0000-00007A030000}"/>
    <cellStyle name="Separador de milhares 27 2" xfId="889" xr:uid="{00000000-0005-0000-0000-00007B030000}"/>
    <cellStyle name="Separador de milhares 27 2 2" xfId="890" xr:uid="{00000000-0005-0000-0000-00007C030000}"/>
    <cellStyle name="Separador de milhares 27 2 2 2" xfId="891" xr:uid="{00000000-0005-0000-0000-00007D030000}"/>
    <cellStyle name="Separador de milhares 27 2 3" xfId="892" xr:uid="{00000000-0005-0000-0000-00007E030000}"/>
    <cellStyle name="Separador de milhares 28" xfId="893" xr:uid="{00000000-0005-0000-0000-00007F030000}"/>
    <cellStyle name="Separador de milhares 28 2" xfId="894" xr:uid="{00000000-0005-0000-0000-000080030000}"/>
    <cellStyle name="Separador de milhares 28 2 2" xfId="895" xr:uid="{00000000-0005-0000-0000-000081030000}"/>
    <cellStyle name="Separador de milhares 28 2 2 2" xfId="896" xr:uid="{00000000-0005-0000-0000-000082030000}"/>
    <cellStyle name="Separador de milhares 28 2 3" xfId="897" xr:uid="{00000000-0005-0000-0000-000083030000}"/>
    <cellStyle name="Separador de milhares 29" xfId="898" xr:uid="{00000000-0005-0000-0000-000084030000}"/>
    <cellStyle name="Separador de milhares 29 2" xfId="899" xr:uid="{00000000-0005-0000-0000-000085030000}"/>
    <cellStyle name="Separador de milhares 29 2 2" xfId="900" xr:uid="{00000000-0005-0000-0000-000086030000}"/>
    <cellStyle name="Separador de milhares 29 2 2 2" xfId="901" xr:uid="{00000000-0005-0000-0000-000087030000}"/>
    <cellStyle name="Separador de milhares 29 2 3" xfId="902" xr:uid="{00000000-0005-0000-0000-000088030000}"/>
    <cellStyle name="Separador de milhares 3 2" xfId="903" xr:uid="{00000000-0005-0000-0000-000089030000}"/>
    <cellStyle name="Separador de milhares 3 2 2" xfId="904" xr:uid="{00000000-0005-0000-0000-00008A030000}"/>
    <cellStyle name="Separador de milhares 3 2 2 2" xfId="905" xr:uid="{00000000-0005-0000-0000-00008B030000}"/>
    <cellStyle name="Separador de milhares 3 2 2 2 2" xfId="906" xr:uid="{00000000-0005-0000-0000-00008C030000}"/>
    <cellStyle name="Separador de milhares 3 2 2 3" xfId="907" xr:uid="{00000000-0005-0000-0000-00008D030000}"/>
    <cellStyle name="Separador de milhares 3 3" xfId="908" xr:uid="{00000000-0005-0000-0000-00008E030000}"/>
    <cellStyle name="Separador de milhares 3 3 2" xfId="909" xr:uid="{00000000-0005-0000-0000-00008F030000}"/>
    <cellStyle name="Separador de milhares 3 3 2 2" xfId="910" xr:uid="{00000000-0005-0000-0000-000090030000}"/>
    <cellStyle name="Separador de milhares 3 3 2 2 2" xfId="911" xr:uid="{00000000-0005-0000-0000-000091030000}"/>
    <cellStyle name="Separador de milhares 3 3 2 3" xfId="912" xr:uid="{00000000-0005-0000-0000-000092030000}"/>
    <cellStyle name="Separador de milhares 3 4" xfId="913" xr:uid="{00000000-0005-0000-0000-000093030000}"/>
    <cellStyle name="Separador de milhares 3 4 2" xfId="914" xr:uid="{00000000-0005-0000-0000-000094030000}"/>
    <cellStyle name="Separador de milhares 3 4 2 2" xfId="915" xr:uid="{00000000-0005-0000-0000-000095030000}"/>
    <cellStyle name="Separador de milhares 3 4 2 2 2" xfId="916" xr:uid="{00000000-0005-0000-0000-000096030000}"/>
    <cellStyle name="Separador de milhares 3 4 2 3" xfId="917" xr:uid="{00000000-0005-0000-0000-000097030000}"/>
    <cellStyle name="Separador de milhares 30" xfId="918" xr:uid="{00000000-0005-0000-0000-000098030000}"/>
    <cellStyle name="Separador de milhares 30 2" xfId="919" xr:uid="{00000000-0005-0000-0000-000099030000}"/>
    <cellStyle name="Separador de milhares 30 2 2" xfId="920" xr:uid="{00000000-0005-0000-0000-00009A030000}"/>
    <cellStyle name="Separador de milhares 30 2 2 2" xfId="921" xr:uid="{00000000-0005-0000-0000-00009B030000}"/>
    <cellStyle name="Separador de milhares 30 2 3" xfId="922" xr:uid="{00000000-0005-0000-0000-00009C030000}"/>
    <cellStyle name="Separador de milhares 31" xfId="923" xr:uid="{00000000-0005-0000-0000-00009D030000}"/>
    <cellStyle name="Separador de milhares 31 2" xfId="924" xr:uid="{00000000-0005-0000-0000-00009E030000}"/>
    <cellStyle name="Separador de milhares 31 2 2" xfId="925" xr:uid="{00000000-0005-0000-0000-00009F030000}"/>
    <cellStyle name="Separador de milhares 31 2 2 2" xfId="926" xr:uid="{00000000-0005-0000-0000-0000A0030000}"/>
    <cellStyle name="Separador de milhares 31 2 3" xfId="927" xr:uid="{00000000-0005-0000-0000-0000A1030000}"/>
    <cellStyle name="Separador de milhares 4" xfId="928" xr:uid="{00000000-0005-0000-0000-0000A2030000}"/>
    <cellStyle name="Separador de milhares 4 2" xfId="929" xr:uid="{00000000-0005-0000-0000-0000A3030000}"/>
    <cellStyle name="Separador de milhares 4 2 2" xfId="930" xr:uid="{00000000-0005-0000-0000-0000A4030000}"/>
    <cellStyle name="Separador de milhares 4 2 2 2" xfId="931" xr:uid="{00000000-0005-0000-0000-0000A5030000}"/>
    <cellStyle name="Separador de milhares 4 2 3" xfId="932" xr:uid="{00000000-0005-0000-0000-0000A6030000}"/>
    <cellStyle name="Separador de milhares 5" xfId="933" xr:uid="{00000000-0005-0000-0000-0000A7030000}"/>
    <cellStyle name="Separador de milhares 5 2" xfId="934" xr:uid="{00000000-0005-0000-0000-0000A8030000}"/>
    <cellStyle name="Separador de milhares 5 2 2" xfId="935" xr:uid="{00000000-0005-0000-0000-0000A9030000}"/>
    <cellStyle name="Separador de milhares 5 2 2 2" xfId="936" xr:uid="{00000000-0005-0000-0000-0000AA030000}"/>
    <cellStyle name="Separador de milhares 5 2 2 2 2" xfId="937" xr:uid="{00000000-0005-0000-0000-0000AB030000}"/>
    <cellStyle name="Separador de milhares 5 2 2 3" xfId="938" xr:uid="{00000000-0005-0000-0000-0000AC030000}"/>
    <cellStyle name="Separador de milhares 5 3" xfId="939" xr:uid="{00000000-0005-0000-0000-0000AD030000}"/>
    <cellStyle name="Separador de milhares 5 3 2" xfId="940" xr:uid="{00000000-0005-0000-0000-0000AE030000}"/>
    <cellStyle name="Separador de milhares 5 3 2 2" xfId="941" xr:uid="{00000000-0005-0000-0000-0000AF030000}"/>
    <cellStyle name="Separador de milhares 5 3 2 2 2" xfId="942" xr:uid="{00000000-0005-0000-0000-0000B0030000}"/>
    <cellStyle name="Separador de milhares 5 3 2 3" xfId="943" xr:uid="{00000000-0005-0000-0000-0000B1030000}"/>
    <cellStyle name="Separador de milhares 5 4" xfId="944" xr:uid="{00000000-0005-0000-0000-0000B2030000}"/>
    <cellStyle name="Separador de milhares 5 4 2" xfId="945" xr:uid="{00000000-0005-0000-0000-0000B3030000}"/>
    <cellStyle name="Separador de milhares 5 4 2 2" xfId="946" xr:uid="{00000000-0005-0000-0000-0000B4030000}"/>
    <cellStyle name="Separador de milhares 5 4 3" xfId="947" xr:uid="{00000000-0005-0000-0000-0000B5030000}"/>
    <cellStyle name="Separador de milhares 6" xfId="948" xr:uid="{00000000-0005-0000-0000-0000B6030000}"/>
    <cellStyle name="Separador de milhares 6 2" xfId="949" xr:uid="{00000000-0005-0000-0000-0000B7030000}"/>
    <cellStyle name="Separador de milhares 6 2 2" xfId="950" xr:uid="{00000000-0005-0000-0000-0000B8030000}"/>
    <cellStyle name="Separador de milhares 6 2 2 2" xfId="951" xr:uid="{00000000-0005-0000-0000-0000B9030000}"/>
    <cellStyle name="Separador de milhares 6 2 2 2 2" xfId="952" xr:uid="{00000000-0005-0000-0000-0000BA030000}"/>
    <cellStyle name="Separador de milhares 6 2 2 3" xfId="953" xr:uid="{00000000-0005-0000-0000-0000BB030000}"/>
    <cellStyle name="Separador de milhares 6 3" xfId="954" xr:uid="{00000000-0005-0000-0000-0000BC030000}"/>
    <cellStyle name="Separador de milhares 6 3 2" xfId="955" xr:uid="{00000000-0005-0000-0000-0000BD030000}"/>
    <cellStyle name="Separador de milhares 6 3 2 2" xfId="956" xr:uid="{00000000-0005-0000-0000-0000BE030000}"/>
    <cellStyle name="Separador de milhares 6 3 3" xfId="957" xr:uid="{00000000-0005-0000-0000-0000BF030000}"/>
    <cellStyle name="Separador de milhares 7" xfId="958" xr:uid="{00000000-0005-0000-0000-0000C0030000}"/>
    <cellStyle name="Separador de milhares 7 2" xfId="959" xr:uid="{00000000-0005-0000-0000-0000C1030000}"/>
    <cellStyle name="Separador de milhares 7 2 2" xfId="960" xr:uid="{00000000-0005-0000-0000-0000C2030000}"/>
    <cellStyle name="Separador de milhares 7 2 2 2" xfId="961" xr:uid="{00000000-0005-0000-0000-0000C3030000}"/>
    <cellStyle name="Separador de milhares 7 2 3" xfId="962" xr:uid="{00000000-0005-0000-0000-0000C4030000}"/>
    <cellStyle name="Separador de milhares 8" xfId="963" xr:uid="{00000000-0005-0000-0000-0000C5030000}"/>
    <cellStyle name="Separador de milhares 8 2" xfId="964" xr:uid="{00000000-0005-0000-0000-0000C6030000}"/>
    <cellStyle name="Separador de milhares 8 2 2" xfId="965" xr:uid="{00000000-0005-0000-0000-0000C7030000}"/>
    <cellStyle name="Separador de milhares 8 2 2 2" xfId="966" xr:uid="{00000000-0005-0000-0000-0000C8030000}"/>
    <cellStyle name="Separador de milhares 8 2 3" xfId="967" xr:uid="{00000000-0005-0000-0000-0000C9030000}"/>
    <cellStyle name="Separador de milhares 9" xfId="968" xr:uid="{00000000-0005-0000-0000-0000CA030000}"/>
    <cellStyle name="Separador de milhares 9 2" xfId="969" xr:uid="{00000000-0005-0000-0000-0000CB030000}"/>
    <cellStyle name="Separador de milhares 9 2 2" xfId="970" xr:uid="{00000000-0005-0000-0000-0000CC030000}"/>
    <cellStyle name="Separador de milhares 9 2 2 2" xfId="971" xr:uid="{00000000-0005-0000-0000-0000CD030000}"/>
    <cellStyle name="Separador de milhares 9 2 3" xfId="972" xr:uid="{00000000-0005-0000-0000-0000CE030000}"/>
    <cellStyle name="Separador de milhares_TRANSPORTE_QUENTE_E_FRIO 2" xfId="973" xr:uid="{00000000-0005-0000-0000-0000CF030000}"/>
    <cellStyle name="Texto de Aviso 2" xfId="974" xr:uid="{00000000-0005-0000-0000-0000D0030000}"/>
    <cellStyle name="Texto de Aviso 2 2" xfId="975" xr:uid="{00000000-0005-0000-0000-0000D1030000}"/>
    <cellStyle name="Texto de Aviso 2 3" xfId="976" xr:uid="{00000000-0005-0000-0000-0000D2030000}"/>
    <cellStyle name="Texto de Aviso 2_ORÇAMENTO - FORUM DE V. GRANDE" xfId="977" xr:uid="{00000000-0005-0000-0000-0000D3030000}"/>
    <cellStyle name="Texto de Aviso 3" xfId="978" xr:uid="{00000000-0005-0000-0000-0000D4030000}"/>
    <cellStyle name="Texto de Aviso 4" xfId="979" xr:uid="{00000000-0005-0000-0000-0000D5030000}"/>
    <cellStyle name="Texto de Aviso 5" xfId="980" xr:uid="{00000000-0005-0000-0000-0000D6030000}"/>
    <cellStyle name="Texto de Aviso 6" xfId="981" xr:uid="{00000000-0005-0000-0000-0000D7030000}"/>
    <cellStyle name="Texto Explicativo 2" xfId="982" xr:uid="{00000000-0005-0000-0000-0000D8030000}"/>
    <cellStyle name="Texto Explicativo 2 2" xfId="983" xr:uid="{00000000-0005-0000-0000-0000D9030000}"/>
    <cellStyle name="Texto Explicativo 2 3" xfId="984" xr:uid="{00000000-0005-0000-0000-0000DA030000}"/>
    <cellStyle name="Texto Explicativo 2_ORÇAMENTO - FORUM DE V. GRANDE" xfId="985" xr:uid="{00000000-0005-0000-0000-0000DB030000}"/>
    <cellStyle name="Texto Explicativo 3" xfId="986" xr:uid="{00000000-0005-0000-0000-0000DC030000}"/>
    <cellStyle name="Texto Explicativo 4" xfId="987" xr:uid="{00000000-0005-0000-0000-0000DD030000}"/>
    <cellStyle name="Texto Explicativo 5" xfId="988" xr:uid="{00000000-0005-0000-0000-0000DE030000}"/>
    <cellStyle name="Texto Explicativo 6" xfId="989" xr:uid="{00000000-0005-0000-0000-0000DF030000}"/>
    <cellStyle name="Title" xfId="990" xr:uid="{00000000-0005-0000-0000-0000E0030000}"/>
    <cellStyle name="Título 1 2" xfId="991" xr:uid="{00000000-0005-0000-0000-0000E1030000}"/>
    <cellStyle name="Título 1 2 2" xfId="992" xr:uid="{00000000-0005-0000-0000-0000E2030000}"/>
    <cellStyle name="Título 1 2 3" xfId="993" xr:uid="{00000000-0005-0000-0000-0000E3030000}"/>
    <cellStyle name="Título 1 2_CIVIL- BL 1-2-3-4-5-6-7-8 " xfId="994" xr:uid="{00000000-0005-0000-0000-0000E4030000}"/>
    <cellStyle name="Título 1 3" xfId="995" xr:uid="{00000000-0005-0000-0000-0000E5030000}"/>
    <cellStyle name="Título 1 4" xfId="996" xr:uid="{00000000-0005-0000-0000-0000E6030000}"/>
    <cellStyle name="Título 1 5" xfId="997" xr:uid="{00000000-0005-0000-0000-0000E7030000}"/>
    <cellStyle name="Título 1 6" xfId="998" xr:uid="{00000000-0005-0000-0000-0000E8030000}"/>
    <cellStyle name="Título 10" xfId="999" xr:uid="{00000000-0005-0000-0000-0000E9030000}"/>
    <cellStyle name="Título 2 2" xfId="1000" xr:uid="{00000000-0005-0000-0000-0000EA030000}"/>
    <cellStyle name="Título 2 2 2" xfId="1001" xr:uid="{00000000-0005-0000-0000-0000EB030000}"/>
    <cellStyle name="Título 2 2 3" xfId="1002" xr:uid="{00000000-0005-0000-0000-0000EC030000}"/>
    <cellStyle name="Título 2 2_CIVIL- BL 1-2-3-4-5-6-7-8 " xfId="1003" xr:uid="{00000000-0005-0000-0000-0000ED030000}"/>
    <cellStyle name="Título 2 3" xfId="1004" xr:uid="{00000000-0005-0000-0000-0000EE030000}"/>
    <cellStyle name="Título 2 4" xfId="1005" xr:uid="{00000000-0005-0000-0000-0000EF030000}"/>
    <cellStyle name="Título 2 5" xfId="1006" xr:uid="{00000000-0005-0000-0000-0000F0030000}"/>
    <cellStyle name="Título 2 6" xfId="1007" xr:uid="{00000000-0005-0000-0000-0000F1030000}"/>
    <cellStyle name="Título 3 2" xfId="1008" xr:uid="{00000000-0005-0000-0000-0000F2030000}"/>
    <cellStyle name="Título 3 2 2" xfId="1009" xr:uid="{00000000-0005-0000-0000-0000F3030000}"/>
    <cellStyle name="Título 3 2 3" xfId="1010" xr:uid="{00000000-0005-0000-0000-0000F4030000}"/>
    <cellStyle name="Título 3 2_CIVIL- BL 1-2-3-4-5-6-7-8 " xfId="1011" xr:uid="{00000000-0005-0000-0000-0000F5030000}"/>
    <cellStyle name="Título 3 3" xfId="1012" xr:uid="{00000000-0005-0000-0000-0000F6030000}"/>
    <cellStyle name="Título 3 4" xfId="1013" xr:uid="{00000000-0005-0000-0000-0000F7030000}"/>
    <cellStyle name="Título 3 5" xfId="1014" xr:uid="{00000000-0005-0000-0000-0000F8030000}"/>
    <cellStyle name="Título 3 6" xfId="1015" xr:uid="{00000000-0005-0000-0000-0000F9030000}"/>
    <cellStyle name="Título 4 2" xfId="1016" xr:uid="{00000000-0005-0000-0000-0000FA030000}"/>
    <cellStyle name="Título 4 2 2" xfId="1017" xr:uid="{00000000-0005-0000-0000-0000FB030000}"/>
    <cellStyle name="Título 4 2 3" xfId="1018" xr:uid="{00000000-0005-0000-0000-0000FC030000}"/>
    <cellStyle name="Título 4 2_ORÇAMENTO - FORUM DE V. GRANDE" xfId="1019" xr:uid="{00000000-0005-0000-0000-0000FD030000}"/>
    <cellStyle name="Título 4 3" xfId="1020" xr:uid="{00000000-0005-0000-0000-0000FE030000}"/>
    <cellStyle name="Título 4 4" xfId="1021" xr:uid="{00000000-0005-0000-0000-0000FF030000}"/>
    <cellStyle name="Título 4 5" xfId="1022" xr:uid="{00000000-0005-0000-0000-000000040000}"/>
    <cellStyle name="Título 4 6" xfId="1023" xr:uid="{00000000-0005-0000-0000-000001040000}"/>
    <cellStyle name="Título 5" xfId="1024" xr:uid="{00000000-0005-0000-0000-000002040000}"/>
    <cellStyle name="Título 5 2" xfId="1025" xr:uid="{00000000-0005-0000-0000-000003040000}"/>
    <cellStyle name="Título 5 3" xfId="1026" xr:uid="{00000000-0005-0000-0000-000004040000}"/>
    <cellStyle name="Título 5_ORÇAMENTO - FORUM DE V. GRANDE" xfId="1027" xr:uid="{00000000-0005-0000-0000-000005040000}"/>
    <cellStyle name="Título 6" xfId="1028" xr:uid="{00000000-0005-0000-0000-000006040000}"/>
    <cellStyle name="Título 7" xfId="1029" xr:uid="{00000000-0005-0000-0000-000007040000}"/>
    <cellStyle name="Título 8" xfId="1030" xr:uid="{00000000-0005-0000-0000-000008040000}"/>
    <cellStyle name="Título 9" xfId="1031" xr:uid="{00000000-0005-0000-0000-000009040000}"/>
    <cellStyle name="Total 2" xfId="1032" xr:uid="{00000000-0005-0000-0000-00000A040000}"/>
    <cellStyle name="Total 2 2" xfId="1033" xr:uid="{00000000-0005-0000-0000-00000B040000}"/>
    <cellStyle name="Total 2 3" xfId="1034" xr:uid="{00000000-0005-0000-0000-00000C040000}"/>
    <cellStyle name="Total 2_CIVIL- BL 1-2-3-4-5-6-7-8 " xfId="1035" xr:uid="{00000000-0005-0000-0000-00000D040000}"/>
    <cellStyle name="Total 3" xfId="1036" xr:uid="{00000000-0005-0000-0000-00000E040000}"/>
    <cellStyle name="Total 4" xfId="1037" xr:uid="{00000000-0005-0000-0000-00000F040000}"/>
    <cellStyle name="Total 5" xfId="1038" xr:uid="{00000000-0005-0000-0000-000010040000}"/>
    <cellStyle name="Total 6" xfId="1039" xr:uid="{00000000-0005-0000-0000-000011040000}"/>
    <cellStyle name="Total 7" xfId="1040" xr:uid="{00000000-0005-0000-0000-000012040000}"/>
    <cellStyle name="Vírgula" xfId="1041" builtinId="3"/>
    <cellStyle name="Vírgula 2" xfId="1042" xr:uid="{00000000-0005-0000-0000-000014040000}"/>
    <cellStyle name="Vírgula 2 2" xfId="1043" xr:uid="{00000000-0005-0000-0000-000015040000}"/>
    <cellStyle name="Vírgula 2 2 2" xfId="1044" xr:uid="{00000000-0005-0000-0000-000016040000}"/>
    <cellStyle name="Vírgula 2 2 2 2" xfId="1045" xr:uid="{00000000-0005-0000-0000-000017040000}"/>
    <cellStyle name="Vírgula 2 2 2 2 2" xfId="1046" xr:uid="{00000000-0005-0000-0000-000018040000}"/>
    <cellStyle name="Vírgula 2 2 2 3" xfId="1047" xr:uid="{00000000-0005-0000-0000-000019040000}"/>
    <cellStyle name="Vírgula 2 3" xfId="1048" xr:uid="{00000000-0005-0000-0000-00001A040000}"/>
    <cellStyle name="Vírgula 2 3 2" xfId="1049" xr:uid="{00000000-0005-0000-0000-00001B040000}"/>
    <cellStyle name="Vírgula 2 3 2 2" xfId="1050" xr:uid="{00000000-0005-0000-0000-00001C040000}"/>
    <cellStyle name="Vírgula 2 3 2 2 2" xfId="1051" xr:uid="{00000000-0005-0000-0000-00001D040000}"/>
    <cellStyle name="Vírgula 2 3 2 3" xfId="1052" xr:uid="{00000000-0005-0000-0000-00001E040000}"/>
    <cellStyle name="Vírgula 2 4" xfId="1053" xr:uid="{00000000-0005-0000-0000-00001F040000}"/>
    <cellStyle name="Vírgula 2 4 2" xfId="1054" xr:uid="{00000000-0005-0000-0000-000020040000}"/>
    <cellStyle name="Vírgula 2 4 2 2" xfId="1055" xr:uid="{00000000-0005-0000-0000-000021040000}"/>
    <cellStyle name="Vírgula 2 4 3" xfId="1056" xr:uid="{00000000-0005-0000-0000-000022040000}"/>
    <cellStyle name="Vírgula 3" xfId="1057" xr:uid="{00000000-0005-0000-0000-000023040000}"/>
    <cellStyle name="Vírgula 3 2" xfId="1058" xr:uid="{00000000-0005-0000-0000-000024040000}"/>
    <cellStyle name="Vírgula 3 2 2" xfId="1059" xr:uid="{00000000-0005-0000-0000-000025040000}"/>
    <cellStyle name="Vírgula 3 2 2 2" xfId="1060" xr:uid="{00000000-0005-0000-0000-000026040000}"/>
    <cellStyle name="Vírgula 3 2 2 2 2" xfId="1061" xr:uid="{00000000-0005-0000-0000-000027040000}"/>
    <cellStyle name="Vírgula 3 2 2 3" xfId="1062" xr:uid="{00000000-0005-0000-0000-000028040000}"/>
    <cellStyle name="Vírgula 3 3" xfId="1063" xr:uid="{00000000-0005-0000-0000-000029040000}"/>
    <cellStyle name="Vírgula 3 3 2" xfId="1064" xr:uid="{00000000-0005-0000-0000-00002A040000}"/>
    <cellStyle name="Vírgula 3 3 2 2" xfId="1065" xr:uid="{00000000-0005-0000-0000-00002B040000}"/>
    <cellStyle name="Vírgula 3 3 3" xfId="1066" xr:uid="{00000000-0005-0000-0000-00002C040000}"/>
    <cellStyle name="Vírgula 4" xfId="1067" xr:uid="{00000000-0005-0000-0000-00002D040000}"/>
    <cellStyle name="Vírgula 4 2" xfId="1068" xr:uid="{00000000-0005-0000-0000-00002E040000}"/>
    <cellStyle name="Vírgula 4 2 2" xfId="1069" xr:uid="{00000000-0005-0000-0000-00002F040000}"/>
    <cellStyle name="Vírgula 4 2 2 2" xfId="1070" xr:uid="{00000000-0005-0000-0000-000030040000}"/>
    <cellStyle name="Vírgula 4 2 2 2 2" xfId="1071" xr:uid="{00000000-0005-0000-0000-000031040000}"/>
    <cellStyle name="Vírgula 4 2 2 3" xfId="1072" xr:uid="{00000000-0005-0000-0000-000032040000}"/>
    <cellStyle name="Vírgula 4 3" xfId="1073" xr:uid="{00000000-0005-0000-0000-000033040000}"/>
    <cellStyle name="Vírgula 4 3 2" xfId="1074" xr:uid="{00000000-0005-0000-0000-000034040000}"/>
    <cellStyle name="Vírgula 4 3 2 2" xfId="1075" xr:uid="{00000000-0005-0000-0000-000035040000}"/>
    <cellStyle name="Vírgula 4 3 3" xfId="1076" xr:uid="{00000000-0005-0000-0000-000036040000}"/>
    <cellStyle name="Vírgula 5" xfId="1077" xr:uid="{00000000-0005-0000-0000-000037040000}"/>
    <cellStyle name="Vírgula 5 2" xfId="1078" xr:uid="{00000000-0005-0000-0000-000038040000}"/>
    <cellStyle name="Vírgula 5 2 2" xfId="1079" xr:uid="{00000000-0005-0000-0000-000039040000}"/>
    <cellStyle name="Vírgula 5 2 2 2" xfId="1080" xr:uid="{00000000-0005-0000-0000-00003A040000}"/>
    <cellStyle name="Vírgula 5 2 3" xfId="1081" xr:uid="{00000000-0005-0000-0000-00003B040000}"/>
    <cellStyle name="Vírgula 5 3" xfId="1082" xr:uid="{00000000-0005-0000-0000-00003C040000}"/>
    <cellStyle name="Vírgula 5 3 2" xfId="1083" xr:uid="{00000000-0005-0000-0000-00003D040000}"/>
    <cellStyle name="Vírgula 5 4" xfId="1084" xr:uid="{00000000-0005-0000-0000-00003E040000}"/>
    <cellStyle name="Vírgula 6" xfId="1085" xr:uid="{00000000-0005-0000-0000-00003F040000}"/>
    <cellStyle name="Vírgula 6 2" xfId="1086" xr:uid="{00000000-0005-0000-0000-000040040000}"/>
    <cellStyle name="Vírgula 6 2 2" xfId="1087" xr:uid="{00000000-0005-0000-0000-000041040000}"/>
    <cellStyle name="Vírgula 6 3" xfId="1088" xr:uid="{00000000-0005-0000-0000-000042040000}"/>
    <cellStyle name="Warning Text" xfId="1089" xr:uid="{00000000-0005-0000-0000-00004304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20</xdr:row>
      <xdr:rowOff>57150</xdr:rowOff>
    </xdr:from>
    <xdr:to>
      <xdr:col>2</xdr:col>
      <xdr:colOff>85725</xdr:colOff>
      <xdr:row>23</xdr:row>
      <xdr:rowOff>85725</xdr:rowOff>
    </xdr:to>
    <xdr:grpSp>
      <xdr:nvGrpSpPr>
        <xdr:cNvPr id="2" name="Group 10">
          <a:extLst>
            <a:ext uri="{FF2B5EF4-FFF2-40B4-BE49-F238E27FC236}">
              <a16:creationId xmlns:a16="http://schemas.microsoft.com/office/drawing/2014/main" id="{7F8D45CF-77AB-43D4-A3D1-080B20FFAA82}"/>
            </a:ext>
          </a:extLst>
        </xdr:cNvPr>
        <xdr:cNvGrpSpPr>
          <a:grpSpLocks/>
        </xdr:cNvGrpSpPr>
      </xdr:nvGrpSpPr>
      <xdr:grpSpPr bwMode="auto">
        <a:xfrm>
          <a:off x="876300" y="3400425"/>
          <a:ext cx="733425" cy="514350"/>
          <a:chOff x="112" y="666"/>
          <a:chExt cx="59" cy="56"/>
        </a:xfrm>
      </xdr:grpSpPr>
      <xdr:grpSp>
        <xdr:nvGrpSpPr>
          <xdr:cNvPr id="3" name="Group 11">
            <a:extLst>
              <a:ext uri="{FF2B5EF4-FFF2-40B4-BE49-F238E27FC236}">
                <a16:creationId xmlns:a16="http://schemas.microsoft.com/office/drawing/2014/main" id="{94F9E25C-9208-394A-73D9-D14EA182ABC2}"/>
              </a:ext>
            </a:extLst>
          </xdr:cNvPr>
          <xdr:cNvGrpSpPr>
            <a:grpSpLocks/>
          </xdr:cNvGrpSpPr>
        </xdr:nvGrpSpPr>
        <xdr:grpSpPr bwMode="auto">
          <a:xfrm>
            <a:off x="112" y="666"/>
            <a:ext cx="56" cy="56"/>
            <a:chOff x="112" y="661"/>
            <a:chExt cx="56" cy="56"/>
          </a:xfrm>
        </xdr:grpSpPr>
        <xdr:sp macro="" textlink="">
          <xdr:nvSpPr>
            <xdr:cNvPr id="5" name="Line 12">
              <a:extLst>
                <a:ext uri="{FF2B5EF4-FFF2-40B4-BE49-F238E27FC236}">
                  <a16:creationId xmlns:a16="http://schemas.microsoft.com/office/drawing/2014/main" id="{77D79944-0610-37E0-E3DB-38076B71BED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12" y="693"/>
              <a:ext cx="56" cy="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dash"/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" name="Line 13">
              <a:extLst>
                <a:ext uri="{FF2B5EF4-FFF2-40B4-BE49-F238E27FC236}">
                  <a16:creationId xmlns:a16="http://schemas.microsoft.com/office/drawing/2014/main" id="{17D930D0-A5FB-233B-E24A-FEC43A9CA7D6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40" y="661"/>
              <a:ext cx="0" cy="56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sm" len="med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grpSp>
          <xdr:nvGrpSpPr>
            <xdr:cNvPr id="7" name="Group 14">
              <a:extLst>
                <a:ext uri="{FF2B5EF4-FFF2-40B4-BE49-F238E27FC236}">
                  <a16:creationId xmlns:a16="http://schemas.microsoft.com/office/drawing/2014/main" id="{31D7C749-7153-41C2-0FCE-DCE520B374BF}"/>
                </a:ext>
              </a:extLst>
            </xdr:cNvPr>
            <xdr:cNvGrpSpPr>
              <a:grpSpLocks/>
            </xdr:cNvGrpSpPr>
          </xdr:nvGrpSpPr>
          <xdr:grpSpPr bwMode="auto">
            <a:xfrm rot="-3136583">
              <a:off x="135" y="669"/>
              <a:ext cx="10" cy="48"/>
              <a:chOff x="67" y="680"/>
              <a:chExt cx="10" cy="50"/>
            </a:xfrm>
          </xdr:grpSpPr>
          <xdr:sp macro="" textlink="">
            <xdr:nvSpPr>
              <xdr:cNvPr id="12" name="Line 15">
                <a:extLst>
                  <a:ext uri="{FF2B5EF4-FFF2-40B4-BE49-F238E27FC236}">
                    <a16:creationId xmlns:a16="http://schemas.microsoft.com/office/drawing/2014/main" id="{210337E9-0BAC-6699-95E2-5C0FE081C671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72" y="683"/>
                <a:ext cx="0" cy="44"/>
              </a:xfrm>
              <a:prstGeom prst="line">
                <a:avLst/>
              </a:pr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13" name="Freeform 16">
                <a:extLst>
                  <a:ext uri="{FF2B5EF4-FFF2-40B4-BE49-F238E27FC236}">
                    <a16:creationId xmlns:a16="http://schemas.microsoft.com/office/drawing/2014/main" id="{020F3BAC-F2F7-9F8B-B62D-6C303C3D1786}"/>
                  </a:ext>
                </a:extLst>
              </xdr:cNvPr>
              <xdr:cNvSpPr>
                <a:spLocks/>
              </xdr:cNvSpPr>
            </xdr:nvSpPr>
            <xdr:spPr bwMode="auto">
              <a:xfrm>
                <a:off x="67" y="680"/>
                <a:ext cx="10" cy="3"/>
              </a:xfrm>
              <a:custGeom>
                <a:avLst/>
                <a:gdLst>
                  <a:gd name="T0" fmla="*/ 0 w 56"/>
                  <a:gd name="T1" fmla="*/ 0 h 17"/>
                  <a:gd name="T2" fmla="*/ 0 w 56"/>
                  <a:gd name="T3" fmla="*/ 0 h 17"/>
                  <a:gd name="T4" fmla="*/ 0 w 56"/>
                  <a:gd name="T5" fmla="*/ 0 h 17"/>
                  <a:gd name="T6" fmla="*/ 0 w 56"/>
                  <a:gd name="T7" fmla="*/ 0 h 17"/>
                  <a:gd name="T8" fmla="*/ 0 60000 65536"/>
                  <a:gd name="T9" fmla="*/ 0 60000 65536"/>
                  <a:gd name="T10" fmla="*/ 0 60000 65536"/>
                  <a:gd name="T11" fmla="*/ 0 60000 65536"/>
                  <a:gd name="T12" fmla="*/ 0 w 56"/>
                  <a:gd name="T13" fmla="*/ 0 h 17"/>
                  <a:gd name="T14" fmla="*/ 56 w 56"/>
                  <a:gd name="T15" fmla="*/ 17 h 17"/>
                </a:gdLst>
                <a:ahLst/>
                <a:cxnLst>
                  <a:cxn ang="T8">
                    <a:pos x="T0" y="T1"/>
                  </a:cxn>
                  <a:cxn ang="T9">
                    <a:pos x="T2" y="T3"/>
                  </a:cxn>
                  <a:cxn ang="T10">
                    <a:pos x="T4" y="T5"/>
                  </a:cxn>
                  <a:cxn ang="T11">
                    <a:pos x="T6" y="T7"/>
                  </a:cxn>
                </a:cxnLst>
                <a:rect l="T12" t="T13" r="T14" b="T15"/>
                <a:pathLst>
                  <a:path w="56" h="17">
                    <a:moveTo>
                      <a:pt x="0" y="0"/>
                    </a:moveTo>
                    <a:lnTo>
                      <a:pt x="0" y="17"/>
                    </a:lnTo>
                    <a:lnTo>
                      <a:pt x="56" y="17"/>
                    </a:lnTo>
                    <a:lnTo>
                      <a:pt x="56" y="0"/>
                    </a:lnTo>
                  </a:path>
                </a:pathLst>
              </a:cu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sp>
          <xdr:sp macro="" textlink="">
            <xdr:nvSpPr>
              <xdr:cNvPr id="14" name="Freeform 17">
                <a:extLst>
                  <a:ext uri="{FF2B5EF4-FFF2-40B4-BE49-F238E27FC236}">
                    <a16:creationId xmlns:a16="http://schemas.microsoft.com/office/drawing/2014/main" id="{EA3D7C8F-13EB-FCEB-E89A-C76BA5655541}"/>
                  </a:ext>
                </a:extLst>
              </xdr:cNvPr>
              <xdr:cNvSpPr>
                <a:spLocks/>
              </xdr:cNvSpPr>
            </xdr:nvSpPr>
            <xdr:spPr bwMode="auto">
              <a:xfrm flipV="1">
                <a:off x="67" y="727"/>
                <a:ext cx="10" cy="3"/>
              </a:xfrm>
              <a:custGeom>
                <a:avLst/>
                <a:gdLst>
                  <a:gd name="T0" fmla="*/ 0 w 56"/>
                  <a:gd name="T1" fmla="*/ 0 h 17"/>
                  <a:gd name="T2" fmla="*/ 0 w 56"/>
                  <a:gd name="T3" fmla="*/ 0 h 17"/>
                  <a:gd name="T4" fmla="*/ 0 w 56"/>
                  <a:gd name="T5" fmla="*/ 0 h 17"/>
                  <a:gd name="T6" fmla="*/ 0 w 56"/>
                  <a:gd name="T7" fmla="*/ 0 h 17"/>
                  <a:gd name="T8" fmla="*/ 0 60000 65536"/>
                  <a:gd name="T9" fmla="*/ 0 60000 65536"/>
                  <a:gd name="T10" fmla="*/ 0 60000 65536"/>
                  <a:gd name="T11" fmla="*/ 0 60000 65536"/>
                  <a:gd name="T12" fmla="*/ 0 w 56"/>
                  <a:gd name="T13" fmla="*/ 0 h 17"/>
                  <a:gd name="T14" fmla="*/ 56 w 56"/>
                  <a:gd name="T15" fmla="*/ 17 h 17"/>
                </a:gdLst>
                <a:ahLst/>
                <a:cxnLst>
                  <a:cxn ang="T8">
                    <a:pos x="T0" y="T1"/>
                  </a:cxn>
                  <a:cxn ang="T9">
                    <a:pos x="T2" y="T3"/>
                  </a:cxn>
                  <a:cxn ang="T10">
                    <a:pos x="T4" y="T5"/>
                  </a:cxn>
                  <a:cxn ang="T11">
                    <a:pos x="T6" y="T7"/>
                  </a:cxn>
                </a:cxnLst>
                <a:rect l="T12" t="T13" r="T14" b="T15"/>
                <a:pathLst>
                  <a:path w="56" h="17">
                    <a:moveTo>
                      <a:pt x="0" y="0"/>
                    </a:moveTo>
                    <a:lnTo>
                      <a:pt x="0" y="17"/>
                    </a:lnTo>
                    <a:lnTo>
                      <a:pt x="56" y="17"/>
                    </a:lnTo>
                    <a:lnTo>
                      <a:pt x="56" y="0"/>
                    </a:lnTo>
                  </a:path>
                </a:pathLst>
              </a:cu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sp>
        </xdr:grpSp>
        <xdr:grpSp>
          <xdr:nvGrpSpPr>
            <xdr:cNvPr id="8" name="Group 18">
              <a:extLst>
                <a:ext uri="{FF2B5EF4-FFF2-40B4-BE49-F238E27FC236}">
                  <a16:creationId xmlns:a16="http://schemas.microsoft.com/office/drawing/2014/main" id="{D3EF8C8C-0394-5D6A-5FD9-F89343FAE428}"/>
                </a:ext>
              </a:extLst>
            </xdr:cNvPr>
            <xdr:cNvGrpSpPr>
              <a:grpSpLocks/>
            </xdr:cNvGrpSpPr>
          </xdr:nvGrpSpPr>
          <xdr:grpSpPr bwMode="auto">
            <a:xfrm rot="2909209">
              <a:off x="135" y="669"/>
              <a:ext cx="10" cy="48"/>
              <a:chOff x="67" y="680"/>
              <a:chExt cx="10" cy="50"/>
            </a:xfrm>
          </xdr:grpSpPr>
          <xdr:sp macro="" textlink="">
            <xdr:nvSpPr>
              <xdr:cNvPr id="9" name="Line 19">
                <a:extLst>
                  <a:ext uri="{FF2B5EF4-FFF2-40B4-BE49-F238E27FC236}">
                    <a16:creationId xmlns:a16="http://schemas.microsoft.com/office/drawing/2014/main" id="{A79764AF-A5A2-0E29-7ABA-CF89CA51CF18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72" y="683"/>
                <a:ext cx="0" cy="44"/>
              </a:xfrm>
              <a:prstGeom prst="line">
                <a:avLst/>
              </a:pr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10" name="Freeform 20">
                <a:extLst>
                  <a:ext uri="{FF2B5EF4-FFF2-40B4-BE49-F238E27FC236}">
                    <a16:creationId xmlns:a16="http://schemas.microsoft.com/office/drawing/2014/main" id="{D7A2CE40-CE45-C678-0474-E00830000531}"/>
                  </a:ext>
                </a:extLst>
              </xdr:cNvPr>
              <xdr:cNvSpPr>
                <a:spLocks/>
              </xdr:cNvSpPr>
            </xdr:nvSpPr>
            <xdr:spPr bwMode="auto">
              <a:xfrm>
                <a:off x="67" y="680"/>
                <a:ext cx="10" cy="3"/>
              </a:xfrm>
              <a:custGeom>
                <a:avLst/>
                <a:gdLst>
                  <a:gd name="T0" fmla="*/ 0 w 56"/>
                  <a:gd name="T1" fmla="*/ 0 h 17"/>
                  <a:gd name="T2" fmla="*/ 0 w 56"/>
                  <a:gd name="T3" fmla="*/ 0 h 17"/>
                  <a:gd name="T4" fmla="*/ 0 w 56"/>
                  <a:gd name="T5" fmla="*/ 0 h 17"/>
                  <a:gd name="T6" fmla="*/ 0 w 56"/>
                  <a:gd name="T7" fmla="*/ 0 h 17"/>
                  <a:gd name="T8" fmla="*/ 0 60000 65536"/>
                  <a:gd name="T9" fmla="*/ 0 60000 65536"/>
                  <a:gd name="T10" fmla="*/ 0 60000 65536"/>
                  <a:gd name="T11" fmla="*/ 0 60000 65536"/>
                  <a:gd name="T12" fmla="*/ 0 w 56"/>
                  <a:gd name="T13" fmla="*/ 0 h 17"/>
                  <a:gd name="T14" fmla="*/ 56 w 56"/>
                  <a:gd name="T15" fmla="*/ 17 h 17"/>
                </a:gdLst>
                <a:ahLst/>
                <a:cxnLst>
                  <a:cxn ang="T8">
                    <a:pos x="T0" y="T1"/>
                  </a:cxn>
                  <a:cxn ang="T9">
                    <a:pos x="T2" y="T3"/>
                  </a:cxn>
                  <a:cxn ang="T10">
                    <a:pos x="T4" y="T5"/>
                  </a:cxn>
                  <a:cxn ang="T11">
                    <a:pos x="T6" y="T7"/>
                  </a:cxn>
                </a:cxnLst>
                <a:rect l="T12" t="T13" r="T14" b="T15"/>
                <a:pathLst>
                  <a:path w="56" h="17">
                    <a:moveTo>
                      <a:pt x="0" y="0"/>
                    </a:moveTo>
                    <a:lnTo>
                      <a:pt x="0" y="17"/>
                    </a:lnTo>
                    <a:lnTo>
                      <a:pt x="56" y="17"/>
                    </a:lnTo>
                    <a:lnTo>
                      <a:pt x="56" y="0"/>
                    </a:lnTo>
                  </a:path>
                </a:pathLst>
              </a:cu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sp>
          <xdr:sp macro="" textlink="">
            <xdr:nvSpPr>
              <xdr:cNvPr id="11" name="Freeform 21">
                <a:extLst>
                  <a:ext uri="{FF2B5EF4-FFF2-40B4-BE49-F238E27FC236}">
                    <a16:creationId xmlns:a16="http://schemas.microsoft.com/office/drawing/2014/main" id="{9ACA2094-42DF-FA58-4798-E88946A22B88}"/>
                  </a:ext>
                </a:extLst>
              </xdr:cNvPr>
              <xdr:cNvSpPr>
                <a:spLocks/>
              </xdr:cNvSpPr>
            </xdr:nvSpPr>
            <xdr:spPr bwMode="auto">
              <a:xfrm flipV="1">
                <a:off x="67" y="727"/>
                <a:ext cx="10" cy="3"/>
              </a:xfrm>
              <a:custGeom>
                <a:avLst/>
                <a:gdLst>
                  <a:gd name="T0" fmla="*/ 0 w 56"/>
                  <a:gd name="T1" fmla="*/ 0 h 17"/>
                  <a:gd name="T2" fmla="*/ 0 w 56"/>
                  <a:gd name="T3" fmla="*/ 0 h 17"/>
                  <a:gd name="T4" fmla="*/ 0 w 56"/>
                  <a:gd name="T5" fmla="*/ 0 h 17"/>
                  <a:gd name="T6" fmla="*/ 0 w 56"/>
                  <a:gd name="T7" fmla="*/ 0 h 17"/>
                  <a:gd name="T8" fmla="*/ 0 60000 65536"/>
                  <a:gd name="T9" fmla="*/ 0 60000 65536"/>
                  <a:gd name="T10" fmla="*/ 0 60000 65536"/>
                  <a:gd name="T11" fmla="*/ 0 60000 65536"/>
                  <a:gd name="T12" fmla="*/ 0 w 56"/>
                  <a:gd name="T13" fmla="*/ 0 h 17"/>
                  <a:gd name="T14" fmla="*/ 56 w 56"/>
                  <a:gd name="T15" fmla="*/ 17 h 17"/>
                </a:gdLst>
                <a:ahLst/>
                <a:cxnLst>
                  <a:cxn ang="T8">
                    <a:pos x="T0" y="T1"/>
                  </a:cxn>
                  <a:cxn ang="T9">
                    <a:pos x="T2" y="T3"/>
                  </a:cxn>
                  <a:cxn ang="T10">
                    <a:pos x="T4" y="T5"/>
                  </a:cxn>
                  <a:cxn ang="T11">
                    <a:pos x="T6" y="T7"/>
                  </a:cxn>
                </a:cxnLst>
                <a:rect l="T12" t="T13" r="T14" b="T15"/>
                <a:pathLst>
                  <a:path w="56" h="17">
                    <a:moveTo>
                      <a:pt x="0" y="0"/>
                    </a:moveTo>
                    <a:lnTo>
                      <a:pt x="0" y="17"/>
                    </a:lnTo>
                    <a:lnTo>
                      <a:pt x="56" y="17"/>
                    </a:lnTo>
                    <a:lnTo>
                      <a:pt x="56" y="0"/>
                    </a:lnTo>
                  </a:path>
                </a:pathLst>
              </a:custGeom>
              <a:noFill/>
              <a:ln w="952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sp>
        </xdr:grpSp>
      </xdr:grpSp>
      <xdr:sp macro="" textlink="">
        <xdr:nvSpPr>
          <xdr:cNvPr id="4" name="Text Box 22">
            <a:extLst>
              <a:ext uri="{FF2B5EF4-FFF2-40B4-BE49-F238E27FC236}">
                <a16:creationId xmlns:a16="http://schemas.microsoft.com/office/drawing/2014/main" id="{D0B41277-93C8-0C04-A3DD-82D0D165562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" y="683"/>
            <a:ext cx="1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pt-BR" sz="1000" b="1" i="0" strike="noStrike">
                <a:solidFill>
                  <a:srgbClr val="000000"/>
                </a:solidFill>
                <a:latin typeface="Tekton"/>
              </a:rPr>
              <a:t>+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1285875</xdr:colOff>
      <xdr:row>28</xdr:row>
      <xdr:rowOff>57150</xdr:rowOff>
    </xdr:from>
    <xdr:to>
      <xdr:col>5</xdr:col>
      <xdr:colOff>152400</xdr:colOff>
      <xdr:row>34</xdr:row>
      <xdr:rowOff>85725</xdr:rowOff>
    </xdr:to>
    <xdr:pic>
      <xdr:nvPicPr>
        <xdr:cNvPr id="37291" name="Picture 3">
          <a:extLst>
            <a:ext uri="{FF2B5EF4-FFF2-40B4-BE49-F238E27FC236}">
              <a16:creationId xmlns:a16="http://schemas.microsoft.com/office/drawing/2014/main" id="{00000000-0008-0000-0700-0000AB9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5" y="5419725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1285875</xdr:colOff>
      <xdr:row>28</xdr:row>
      <xdr:rowOff>57150</xdr:rowOff>
    </xdr:from>
    <xdr:to>
      <xdr:col>5</xdr:col>
      <xdr:colOff>152400</xdr:colOff>
      <xdr:row>34</xdr:row>
      <xdr:rowOff>85725</xdr:rowOff>
    </xdr:to>
    <xdr:pic>
      <xdr:nvPicPr>
        <xdr:cNvPr id="44329" name="Picture 3">
          <a:extLst>
            <a:ext uri="{FF2B5EF4-FFF2-40B4-BE49-F238E27FC236}">
              <a16:creationId xmlns:a16="http://schemas.microsoft.com/office/drawing/2014/main" id="{00000000-0008-0000-0800-000029A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5" y="5362575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438150</xdr:colOff>
      <xdr:row>5</xdr:row>
      <xdr:rowOff>123825</xdr:rowOff>
    </xdr:from>
    <xdr:to>
      <xdr:col>1</xdr:col>
      <xdr:colOff>933450</xdr:colOff>
      <xdr:row>5</xdr:row>
      <xdr:rowOff>638175</xdr:rowOff>
    </xdr:to>
    <xdr:pic>
      <xdr:nvPicPr>
        <xdr:cNvPr id="2" name="Imagem 4" descr="Resultado de imagem para pare">
          <a:extLst>
            <a:ext uri="{FF2B5EF4-FFF2-40B4-BE49-F238E27FC236}">
              <a16:creationId xmlns:a16="http://schemas.microsoft.com/office/drawing/2014/main" id="{5042C1E5-5983-4734-AE44-05C7909579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1123950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447675</xdr:colOff>
      <xdr:row>13</xdr:row>
      <xdr:rowOff>85725</xdr:rowOff>
    </xdr:from>
    <xdr:to>
      <xdr:col>1</xdr:col>
      <xdr:colOff>942975</xdr:colOff>
      <xdr:row>13</xdr:row>
      <xdr:rowOff>600075</xdr:rowOff>
    </xdr:to>
    <xdr:pic>
      <xdr:nvPicPr>
        <xdr:cNvPr id="3" name="Imagem 8" descr="Resultado de imagem para pare">
          <a:extLst>
            <a:ext uri="{FF2B5EF4-FFF2-40B4-BE49-F238E27FC236}">
              <a16:creationId xmlns:a16="http://schemas.microsoft.com/office/drawing/2014/main" id="{A2785D0E-59E3-47FF-B40B-B4EB041F58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6875" y="5124450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476250</xdr:colOff>
      <xdr:row>9</xdr:row>
      <xdr:rowOff>66675</xdr:rowOff>
    </xdr:from>
    <xdr:to>
      <xdr:col>1</xdr:col>
      <xdr:colOff>971550</xdr:colOff>
      <xdr:row>9</xdr:row>
      <xdr:rowOff>581025</xdr:rowOff>
    </xdr:to>
    <xdr:pic>
      <xdr:nvPicPr>
        <xdr:cNvPr id="4" name="Imagem 9" descr="Resultado de imagem para pare">
          <a:extLst>
            <a:ext uri="{FF2B5EF4-FFF2-40B4-BE49-F238E27FC236}">
              <a16:creationId xmlns:a16="http://schemas.microsoft.com/office/drawing/2014/main" id="{B7B0C8AC-B7B6-4473-A731-80A31B5EEC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5450" y="3105150"/>
          <a:ext cx="4953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371475</xdr:colOff>
      <xdr:row>6</xdr:row>
      <xdr:rowOff>66675</xdr:rowOff>
    </xdr:from>
    <xdr:to>
      <xdr:col>1</xdr:col>
      <xdr:colOff>1000125</xdr:colOff>
      <xdr:row>6</xdr:row>
      <xdr:rowOff>514350</xdr:rowOff>
    </xdr:to>
    <xdr:pic>
      <xdr:nvPicPr>
        <xdr:cNvPr id="5" name="Imagem 20" descr="Imagem relacionada">
          <a:extLst>
            <a:ext uri="{FF2B5EF4-FFF2-40B4-BE49-F238E27FC236}">
              <a16:creationId xmlns:a16="http://schemas.microsoft.com/office/drawing/2014/main" id="{86BDF08E-EE62-444E-A18B-252C6585A5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1905000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333375</xdr:colOff>
      <xdr:row>14</xdr:row>
      <xdr:rowOff>76200</xdr:rowOff>
    </xdr:from>
    <xdr:to>
      <xdr:col>1</xdr:col>
      <xdr:colOff>962025</xdr:colOff>
      <xdr:row>14</xdr:row>
      <xdr:rowOff>523875</xdr:rowOff>
    </xdr:to>
    <xdr:pic>
      <xdr:nvPicPr>
        <xdr:cNvPr id="6" name="Imagem 20" descr="Imagem relacionada">
          <a:extLst>
            <a:ext uri="{FF2B5EF4-FFF2-40B4-BE49-F238E27FC236}">
              <a16:creationId xmlns:a16="http://schemas.microsoft.com/office/drawing/2014/main" id="{C79D52FF-BB77-4356-AE1A-4DC233E1B6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2575" y="597217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390525</xdr:colOff>
      <xdr:row>10</xdr:row>
      <xdr:rowOff>76200</xdr:rowOff>
    </xdr:from>
    <xdr:to>
      <xdr:col>1</xdr:col>
      <xdr:colOff>1019175</xdr:colOff>
      <xdr:row>10</xdr:row>
      <xdr:rowOff>523875</xdr:rowOff>
    </xdr:to>
    <xdr:pic>
      <xdr:nvPicPr>
        <xdr:cNvPr id="7" name="Imagem 20" descr="Imagem relacionada">
          <a:extLst>
            <a:ext uri="{FF2B5EF4-FFF2-40B4-BE49-F238E27FC236}">
              <a16:creationId xmlns:a16="http://schemas.microsoft.com/office/drawing/2014/main" id="{3EFA4952-C52B-4326-B64C-E663CF3E9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3876675"/>
          <a:ext cx="6286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dsk\Desktop\TRABALHOS%202018\DIRE&#199;&#195;O\ENTREGUE\PLOTAR\REVIS&#195;O%202\ENTREGUE%20EDUARDO%2026042018\REVIS&#195;O_MAIO\revisado\REVISADO_RAUL\CALCULO_DRENAGEMLON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tos%20Convexa\V&#193;RZEA%20GRANDE%20-%20EVVIA\PROJETOS%20EM%20ANDAMENTO_VG\1%20-%20Bairro%20Maria%20Isabel\OR&#199;AMENTO%20-%20BAIRRO%20MARIA%20ISAB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ções Tipo"/>
      <sheetName val="SARJETAS E MEIOS-FIOS"/>
      <sheetName val="Resumo Quantidades"/>
    </sheetNames>
    <sheetDataSet>
      <sheetData sheetId="0">
        <row r="7">
          <cell r="G7">
            <v>2.3933176886521308E-2</v>
          </cell>
        </row>
        <row r="10">
          <cell r="B10">
            <v>1E-3</v>
          </cell>
          <cell r="C10">
            <v>10.5</v>
          </cell>
          <cell r="D10">
            <v>63.738321119778981</v>
          </cell>
        </row>
        <row r="11">
          <cell r="B11">
            <v>2E-3</v>
          </cell>
          <cell r="C11">
            <v>90.139598170482927</v>
          </cell>
          <cell r="D11">
            <v>90.139598170482927</v>
          </cell>
        </row>
        <row r="12">
          <cell r="B12">
            <v>2.3999999999999998E-3</v>
          </cell>
          <cell r="C12">
            <v>98.74298248484979</v>
          </cell>
          <cell r="D12">
            <v>98.74298248484979</v>
          </cell>
        </row>
        <row r="13">
          <cell r="B13">
            <v>3.0000000000000001E-3</v>
          </cell>
          <cell r="C13">
            <v>110.39801056859761</v>
          </cell>
          <cell r="D13">
            <v>110.39801056859761</v>
          </cell>
        </row>
        <row r="14">
          <cell r="B14">
            <v>4.0000000000000001E-3</v>
          </cell>
          <cell r="C14">
            <v>127.47664223955796</v>
          </cell>
          <cell r="D14">
            <v>127.47664223955796</v>
          </cell>
        </row>
        <row r="15">
          <cell r="B15">
            <v>6.0000000000000001E-3</v>
          </cell>
          <cell r="C15">
            <v>156.12636380511904</v>
          </cell>
          <cell r="D15">
            <v>156.12636380511904</v>
          </cell>
        </row>
        <row r="16">
          <cell r="B16">
            <v>6.3E-3</v>
          </cell>
          <cell r="C16">
            <v>159.98191631793514</v>
          </cell>
          <cell r="D16">
            <v>159.98191631793514</v>
          </cell>
        </row>
        <row r="17">
          <cell r="B17">
            <v>6.4000000000000003E-3</v>
          </cell>
          <cell r="C17">
            <v>161.24661517897238</v>
          </cell>
          <cell r="D17">
            <v>161.24661517897238</v>
          </cell>
        </row>
        <row r="18">
          <cell r="B18">
            <v>7.0000000000000001E-3</v>
          </cell>
          <cell r="C18">
            <v>168.63574666771112</v>
          </cell>
          <cell r="D18">
            <v>168.63574666771112</v>
          </cell>
        </row>
        <row r="19">
          <cell r="B19">
            <v>8.0000000000000002E-3</v>
          </cell>
          <cell r="C19">
            <v>180.27919634096585</v>
          </cell>
          <cell r="D19">
            <v>180.27919634096585</v>
          </cell>
        </row>
        <row r="20">
          <cell r="B20">
            <v>8.9999999999999993E-3</v>
          </cell>
          <cell r="C20">
            <v>191.21496335933693</v>
          </cell>
          <cell r="D20">
            <v>191.21496335933693</v>
          </cell>
        </row>
        <row r="21">
          <cell r="B21">
            <v>0.01</v>
          </cell>
          <cell r="C21">
            <v>201.55826897371549</v>
          </cell>
          <cell r="D21">
            <v>201.55826897371549</v>
          </cell>
        </row>
        <row r="22">
          <cell r="B22">
            <v>0.01</v>
          </cell>
          <cell r="C22">
            <v>201.55826897371549</v>
          </cell>
          <cell r="D22">
            <v>201.55826897371549</v>
          </cell>
        </row>
        <row r="23">
          <cell r="B23">
            <v>1.2E-2</v>
          </cell>
          <cell r="C23">
            <v>220.79602113719523</v>
          </cell>
          <cell r="D23">
            <v>220.79602113719523</v>
          </cell>
        </row>
        <row r="24">
          <cell r="B24">
            <v>1.2999999999999999E-2</v>
          </cell>
          <cell r="C24">
            <v>229.81178500935243</v>
          </cell>
          <cell r="D24">
            <v>229.81178500935243</v>
          </cell>
        </row>
        <row r="25">
          <cell r="B25">
            <v>1.4999999999999999E-2</v>
          </cell>
          <cell r="C25">
            <v>246.85745621212445</v>
          </cell>
          <cell r="D25">
            <v>246.85745621212445</v>
          </cell>
        </row>
        <row r="26">
          <cell r="B26">
            <v>1.6E-2</v>
          </cell>
          <cell r="C26">
            <v>254.95328447911592</v>
          </cell>
          <cell r="D26">
            <v>254.95328447911592</v>
          </cell>
        </row>
        <row r="27">
          <cell r="B27">
            <v>0.02</v>
          </cell>
          <cell r="C27">
            <v>285.04643759107267</v>
          </cell>
          <cell r="D27">
            <v>285.04643759107267</v>
          </cell>
        </row>
        <row r="28">
          <cell r="B28">
            <v>2.1999999999999999E-2</v>
          </cell>
          <cell r="C28">
            <v>298.95922588489788</v>
          </cell>
          <cell r="D28">
            <v>298.95922588489788</v>
          </cell>
        </row>
        <row r="29">
          <cell r="B29">
            <v>2.3E-2</v>
          </cell>
          <cell r="C29">
            <v>305.67824966926491</v>
          </cell>
          <cell r="D29">
            <v>305.67824966926491</v>
          </cell>
        </row>
        <row r="30">
          <cell r="B30">
            <v>2.4E-2</v>
          </cell>
          <cell r="C30">
            <v>312.25272761023808</v>
          </cell>
          <cell r="D30">
            <v>312.25272761023808</v>
          </cell>
        </row>
        <row r="31">
          <cell r="B31">
            <v>2.5000000000000001E-2</v>
          </cell>
          <cell r="C31">
            <v>318.69160559889491</v>
          </cell>
          <cell r="D31">
            <v>318.69160559889491</v>
          </cell>
        </row>
        <row r="32">
          <cell r="B32">
            <v>2.5999999999999999E-2</v>
          </cell>
          <cell r="C32">
            <v>325.00294315339619</v>
          </cell>
          <cell r="D32">
            <v>325.00294315339619</v>
          </cell>
        </row>
        <row r="33">
          <cell r="B33">
            <v>0.03</v>
          </cell>
          <cell r="C33">
            <v>349.10916254810888</v>
          </cell>
          <cell r="D33">
            <v>349.10916254810888</v>
          </cell>
        </row>
        <row r="34">
          <cell r="B34">
            <v>3.5999999999999997E-2</v>
          </cell>
          <cell r="C34">
            <v>382.42992671867387</v>
          </cell>
          <cell r="D34">
            <v>382.42992671867387</v>
          </cell>
        </row>
        <row r="35">
          <cell r="B35">
            <v>0.04</v>
          </cell>
          <cell r="C35">
            <v>403.11653794743097</v>
          </cell>
          <cell r="D35">
            <v>403.11653794743097</v>
          </cell>
        </row>
        <row r="36">
          <cell r="B36">
            <v>4.1000000000000002E-2</v>
          </cell>
          <cell r="C36">
            <v>408.1243888153349</v>
          </cell>
          <cell r="D36">
            <v>408.1243888153349</v>
          </cell>
        </row>
        <row r="37">
          <cell r="B37">
            <v>4.3999999999999997E-2</v>
          </cell>
          <cell r="C37">
            <v>422.79219184298427</v>
          </cell>
          <cell r="D37">
            <v>422.79219184298427</v>
          </cell>
        </row>
        <row r="38">
          <cell r="B38">
            <v>4.5999999999999999E-2</v>
          </cell>
          <cell r="C38">
            <v>432.29432640474352</v>
          </cell>
          <cell r="D38">
            <v>432.29432640474352</v>
          </cell>
        </row>
      </sheetData>
      <sheetData sheetId="1">
        <row r="7">
          <cell r="H7">
            <v>4.2500000000000003E-2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QUANT"/>
      <sheetName val="ORÇA "/>
      <sheetName val="TRANSP"/>
      <sheetName val="CFF"/>
      <sheetName val="MEMORIAL DE CALCULO"/>
      <sheetName val="TERRAP E PAVIM"/>
      <sheetName val="BDI"/>
      <sheetName val="BDI DIFERENCIADO"/>
      <sheetName val="SN HOR"/>
      <sheetName val="SN VERT"/>
      <sheetName val="ALUGUEL"/>
      <sheetName val="COMP."/>
      <sheetName val="REAJUSTAMENTO"/>
    </sheetNames>
    <sheetDataSet>
      <sheetData sheetId="0" refreshError="1"/>
      <sheetData sheetId="1" refreshError="1"/>
      <sheetData sheetId="2">
        <row r="71">
          <cell r="A71" t="str">
            <v>9.0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B1:G46"/>
  <sheetViews>
    <sheetView topLeftCell="A7" zoomScale="85" zoomScaleNormal="85" workbookViewId="0">
      <selection activeCell="K31" sqref="K31"/>
    </sheetView>
  </sheetViews>
  <sheetFormatPr defaultColWidth="9.140625" defaultRowHeight="12.75"/>
  <cols>
    <col min="1" max="1" width="9.140625" style="86"/>
    <col min="2" max="2" width="16.7109375" style="86" customWidth="1"/>
    <col min="3" max="3" width="52.5703125" style="86" customWidth="1"/>
    <col min="4" max="4" width="36.42578125" style="86" customWidth="1"/>
    <col min="5" max="5" width="9.140625" style="86"/>
    <col min="6" max="6" width="12.42578125" style="86" bestFit="1" customWidth="1"/>
    <col min="7" max="7" width="17.7109375" style="86" bestFit="1" customWidth="1"/>
    <col min="8" max="16384" width="9.140625" style="86"/>
  </cols>
  <sheetData>
    <row r="1" spans="2:4" ht="13.5" thickBot="1"/>
    <row r="2" spans="2:4" ht="30" customHeight="1">
      <c r="B2" s="645" t="s">
        <v>75</v>
      </c>
      <c r="C2" s="646"/>
      <c r="D2" s="647"/>
    </row>
    <row r="3" spans="2:4" ht="12.75" customHeight="1">
      <c r="B3" s="648" t="s">
        <v>33</v>
      </c>
      <c r="C3" s="649"/>
      <c r="D3" s="650"/>
    </row>
    <row r="4" spans="2:4" ht="20.25" customHeight="1">
      <c r="B4" s="648"/>
      <c r="C4" s="649"/>
      <c r="D4" s="650"/>
    </row>
    <row r="5" spans="2:4" ht="12.75" customHeight="1">
      <c r="B5" s="652" t="s">
        <v>268</v>
      </c>
      <c r="C5" s="651" t="s">
        <v>272</v>
      </c>
      <c r="D5" s="149" t="s">
        <v>646</v>
      </c>
    </row>
    <row r="6" spans="2:4" ht="14.25" customHeight="1">
      <c r="B6" s="653"/>
      <c r="C6" s="651"/>
      <c r="D6" s="150" t="s">
        <v>643</v>
      </c>
    </row>
    <row r="7" spans="2:4" ht="12.75" customHeight="1">
      <c r="B7" s="654"/>
      <c r="C7" s="651"/>
      <c r="D7" s="151" t="s">
        <v>224</v>
      </c>
    </row>
    <row r="8" spans="2:4" ht="27" customHeight="1">
      <c r="B8" s="134" t="s">
        <v>17</v>
      </c>
      <c r="C8" s="135" t="s">
        <v>0</v>
      </c>
      <c r="D8" s="136" t="s">
        <v>34</v>
      </c>
    </row>
    <row r="9" spans="2:4" ht="12.75" customHeight="1">
      <c r="B9" s="636" t="str">
        <f>'ORÇA '!A9</f>
        <v>1.0</v>
      </c>
      <c r="C9" s="639" t="str">
        <f>'ORÇA '!D9</f>
        <v>SERVIÇOS PRELIMINARES</v>
      </c>
      <c r="D9" s="641">
        <f>'ORÇA '!J12</f>
        <v>37591.360000000001</v>
      </c>
    </row>
    <row r="10" spans="2:4" ht="14.25" customHeight="1">
      <c r="B10" s="637"/>
      <c r="C10" s="640"/>
      <c r="D10" s="642"/>
    </row>
    <row r="11" spans="2:4">
      <c r="B11" s="638"/>
      <c r="C11" s="644"/>
      <c r="D11" s="643"/>
    </row>
    <row r="12" spans="2:4" ht="12.75" customHeight="1">
      <c r="B12" s="636" t="str">
        <f>'ORÇA '!A14</f>
        <v>2.0</v>
      </c>
      <c r="C12" s="639" t="str">
        <f>'ORÇA '!D14</f>
        <v>ADMINISTRAÇÃO LOCAL</v>
      </c>
      <c r="D12" s="641">
        <f>'ORÇA '!J15</f>
        <v>50210.1</v>
      </c>
    </row>
    <row r="13" spans="2:4" ht="12.75" customHeight="1">
      <c r="B13" s="637"/>
      <c r="C13" s="640"/>
      <c r="D13" s="642"/>
    </row>
    <row r="14" spans="2:4" ht="12.75" customHeight="1">
      <c r="B14" s="638"/>
      <c r="C14" s="640"/>
      <c r="D14" s="643"/>
    </row>
    <row r="15" spans="2:4" ht="12.75" customHeight="1">
      <c r="B15" s="636" t="str">
        <f>'ORÇA '!A17</f>
        <v>3.0</v>
      </c>
      <c r="C15" s="639" t="str">
        <f>'ORÇA '!D17</f>
        <v>ENSAIOS TECNOLÓGICOS DE SOLO E ASFALTO</v>
      </c>
      <c r="D15" s="641">
        <f>'ORÇA '!J20</f>
        <v>8576.15</v>
      </c>
    </row>
    <row r="16" spans="2:4" ht="12.75" customHeight="1">
      <c r="B16" s="637"/>
      <c r="C16" s="640"/>
      <c r="D16" s="642"/>
    </row>
    <row r="17" spans="2:4" ht="12.75" customHeight="1">
      <c r="B17" s="638"/>
      <c r="C17" s="644"/>
      <c r="D17" s="643"/>
    </row>
    <row r="18" spans="2:4" ht="12.75" customHeight="1">
      <c r="B18" s="636" t="str">
        <f>'ORÇA '!A22</f>
        <v>4.0</v>
      </c>
      <c r="C18" s="639" t="str">
        <f>'ORÇA '!D22</f>
        <v>TERRAPLENAGEM</v>
      </c>
      <c r="D18" s="641">
        <f>'ORÇA '!J29</f>
        <v>67790.92</v>
      </c>
    </row>
    <row r="19" spans="2:4">
      <c r="B19" s="637"/>
      <c r="C19" s="640"/>
      <c r="D19" s="642"/>
    </row>
    <row r="20" spans="2:4">
      <c r="B20" s="638"/>
      <c r="C20" s="644"/>
      <c r="D20" s="643"/>
    </row>
    <row r="21" spans="2:4" ht="12.75" customHeight="1">
      <c r="B21" s="636" t="str">
        <f>'ORÇA '!A31</f>
        <v>5.0</v>
      </c>
      <c r="C21" s="639" t="str">
        <f>'ORÇA '!D31</f>
        <v>PAVIMENTAÇÃO</v>
      </c>
      <c r="D21" s="641">
        <f>'ORÇA '!J41</f>
        <v>284630.31999999995</v>
      </c>
    </row>
    <row r="22" spans="2:4">
      <c r="B22" s="637"/>
      <c r="C22" s="640"/>
      <c r="D22" s="642"/>
    </row>
    <row r="23" spans="2:4" ht="12.75" customHeight="1">
      <c r="B23" s="638"/>
      <c r="C23" s="644"/>
      <c r="D23" s="643"/>
    </row>
    <row r="24" spans="2:4" ht="12.75" customHeight="1">
      <c r="B24" s="636" t="str">
        <f>'ORÇA '!A43</f>
        <v>6.0</v>
      </c>
      <c r="C24" s="639" t="str">
        <f>'ORÇA '!D43</f>
        <v>SINALIZAÇÃO HORIZONTAL/VERTICAL</v>
      </c>
      <c r="D24" s="641">
        <f>'ORÇA '!J47</f>
        <v>10218.26</v>
      </c>
    </row>
    <row r="25" spans="2:4">
      <c r="B25" s="637"/>
      <c r="C25" s="640"/>
      <c r="D25" s="642"/>
    </row>
    <row r="26" spans="2:4" ht="12.75" customHeight="1">
      <c r="B26" s="638"/>
      <c r="C26" s="644"/>
      <c r="D26" s="643"/>
    </row>
    <row r="27" spans="2:4" ht="12.75" customHeight="1">
      <c r="B27" s="636" t="str">
        <f>'ORÇA '!A49</f>
        <v>7.0</v>
      </c>
      <c r="C27" s="322"/>
      <c r="D27" s="641">
        <f>'ORÇA '!J52</f>
        <v>72525.78</v>
      </c>
    </row>
    <row r="28" spans="2:4" ht="12.75" customHeight="1">
      <c r="B28" s="637"/>
      <c r="C28" s="322" t="str">
        <f>'ORÇA '!D49</f>
        <v>OBRAS COMPLEMENTARES</v>
      </c>
      <c r="D28" s="642"/>
    </row>
    <row r="29" spans="2:4" ht="12.75" customHeight="1">
      <c r="B29" s="638"/>
      <c r="C29" s="322"/>
      <c r="D29" s="643"/>
    </row>
    <row r="30" spans="2:4" ht="12.75" customHeight="1">
      <c r="B30" s="636" t="str">
        <f>'ORÇA '!A54</f>
        <v>8.0</v>
      </c>
      <c r="C30" s="639" t="str">
        <f>'ORÇA '!D54</f>
        <v>DRENAGEM</v>
      </c>
      <c r="D30" s="641">
        <f>'ORÇA '!J60</f>
        <v>28689.39</v>
      </c>
    </row>
    <row r="31" spans="2:4" ht="12.75" customHeight="1">
      <c r="B31" s="637"/>
      <c r="C31" s="640"/>
      <c r="D31" s="642"/>
    </row>
    <row r="32" spans="2:4" ht="12.75" customHeight="1">
      <c r="B32" s="638"/>
      <c r="C32" s="644"/>
      <c r="D32" s="643"/>
    </row>
    <row r="33" spans="2:7" ht="12.75" customHeight="1">
      <c r="B33" s="636" t="str">
        <f>'[2]ORÇA '!A71</f>
        <v>9.0</v>
      </c>
      <c r="C33" s="655" t="str">
        <f>'ORÇA '!D62</f>
        <v>ÓRGÃOS ACESSÓRIOS</v>
      </c>
      <c r="D33" s="641">
        <f>'ORÇA '!J69</f>
        <v>163671.54</v>
      </c>
    </row>
    <row r="34" spans="2:7" ht="12.75" customHeight="1">
      <c r="B34" s="637"/>
      <c r="C34" s="656"/>
      <c r="D34" s="642"/>
    </row>
    <row r="35" spans="2:7" ht="12.75" customHeight="1">
      <c r="B35" s="638"/>
      <c r="C35" s="657"/>
      <c r="D35" s="643"/>
    </row>
    <row r="36" spans="2:7">
      <c r="B36" s="660" t="s">
        <v>36</v>
      </c>
      <c r="C36" s="661"/>
      <c r="D36" s="137"/>
    </row>
    <row r="37" spans="2:7" ht="15.75">
      <c r="B37" s="662"/>
      <c r="C37" s="663"/>
      <c r="D37" s="138">
        <f>SUM(D9:D35)</f>
        <v>723903.82</v>
      </c>
      <c r="F37" s="196">
        <v>1134379.6800000002</v>
      </c>
      <c r="G37" s="634">
        <f>F37-D37</f>
        <v>410475.86000000022</v>
      </c>
    </row>
    <row r="38" spans="2:7" ht="15" customHeight="1">
      <c r="B38" s="664"/>
      <c r="C38" s="665"/>
      <c r="D38" s="139"/>
    </row>
    <row r="39" spans="2:7" ht="15" customHeight="1">
      <c r="B39" s="666" t="s">
        <v>46</v>
      </c>
      <c r="C39" s="667"/>
      <c r="D39" s="140">
        <f>'TERRAP E PAVIM'!I18</f>
        <v>3535</v>
      </c>
    </row>
    <row r="40" spans="2:7">
      <c r="B40" s="666" t="s">
        <v>74</v>
      </c>
      <c r="C40" s="667"/>
      <c r="D40" s="141">
        <f>D37/D39</f>
        <v>204.78184441301272</v>
      </c>
    </row>
    <row r="41" spans="2:7" ht="16.5" customHeight="1">
      <c r="B41" s="147" t="s">
        <v>230</v>
      </c>
      <c r="C41" s="133"/>
      <c r="D41" s="142">
        <f>D37/('ORÇA '!I6/1000)</f>
        <v>1433472.9108910889</v>
      </c>
    </row>
    <row r="42" spans="2:7" s="143" customFormat="1" ht="20.100000000000001" customHeight="1">
      <c r="B42" s="148" t="s">
        <v>542</v>
      </c>
      <c r="C42" s="668" t="s">
        <v>648</v>
      </c>
      <c r="D42" s="669"/>
    </row>
    <row r="43" spans="2:7" s="143" customFormat="1" ht="20.100000000000001" customHeight="1">
      <c r="B43" s="279" t="s">
        <v>207</v>
      </c>
      <c r="C43" s="670" t="s">
        <v>656</v>
      </c>
      <c r="D43" s="671"/>
      <c r="F43" s="144"/>
    </row>
    <row r="44" spans="2:7" s="143" customFormat="1" ht="20.100000000000001" customHeight="1" thickBot="1">
      <c r="B44" s="145" t="s">
        <v>41</v>
      </c>
      <c r="C44" s="658" t="s">
        <v>42</v>
      </c>
      <c r="D44" s="659"/>
    </row>
    <row r="46" spans="2:7" ht="15.75">
      <c r="B46" s="146"/>
    </row>
  </sheetData>
  <mergeCells count="36">
    <mergeCell ref="D18:D20"/>
    <mergeCell ref="D21:D23"/>
    <mergeCell ref="D24:D26"/>
    <mergeCell ref="D27:D29"/>
    <mergeCell ref="D30:D32"/>
    <mergeCell ref="B33:B35"/>
    <mergeCell ref="C33:C35"/>
    <mergeCell ref="C44:D44"/>
    <mergeCell ref="B36:C38"/>
    <mergeCell ref="B39:C39"/>
    <mergeCell ref="B40:C40"/>
    <mergeCell ref="C42:D42"/>
    <mergeCell ref="C43:D43"/>
    <mergeCell ref="D33:D35"/>
    <mergeCell ref="B2:D2"/>
    <mergeCell ref="B3:D4"/>
    <mergeCell ref="C5:C7"/>
    <mergeCell ref="B5:B7"/>
    <mergeCell ref="B9:B11"/>
    <mergeCell ref="C9:C11"/>
    <mergeCell ref="D9:D11"/>
    <mergeCell ref="B18:B20"/>
    <mergeCell ref="B30:B32"/>
    <mergeCell ref="C30:C32"/>
    <mergeCell ref="C18:C20"/>
    <mergeCell ref="B21:B23"/>
    <mergeCell ref="C21:C23"/>
    <mergeCell ref="B24:B26"/>
    <mergeCell ref="B27:B29"/>
    <mergeCell ref="C24:C26"/>
    <mergeCell ref="B12:B14"/>
    <mergeCell ref="C12:C14"/>
    <mergeCell ref="D12:D14"/>
    <mergeCell ref="B15:B17"/>
    <mergeCell ref="C15:C17"/>
    <mergeCell ref="D15:D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110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10"/>
  <dimension ref="A1:M35"/>
  <sheetViews>
    <sheetView workbookViewId="0">
      <selection activeCell="A26" sqref="A26:D27"/>
    </sheetView>
  </sheetViews>
  <sheetFormatPr defaultColWidth="9.140625" defaultRowHeight="12.75"/>
  <cols>
    <col min="1" max="1" width="11.7109375" style="44" customWidth="1"/>
    <col min="2" max="2" width="37.42578125" style="44" customWidth="1"/>
    <col min="3" max="4" width="8" style="44" customWidth="1"/>
    <col min="5" max="5" width="15.7109375" style="44" customWidth="1"/>
    <col min="6" max="6" width="8" style="44" customWidth="1"/>
    <col min="7" max="8" width="15.5703125" style="44" customWidth="1"/>
    <col min="9" max="9" width="19.85546875" style="44" customWidth="1"/>
    <col min="10" max="16384" width="9.140625" style="44"/>
  </cols>
  <sheetData>
    <row r="1" spans="1:13" ht="15.75">
      <c r="A1" s="962" t="s">
        <v>97</v>
      </c>
      <c r="B1" s="963"/>
      <c r="C1" s="963"/>
      <c r="D1" s="963"/>
      <c r="E1" s="963"/>
      <c r="F1" s="963"/>
      <c r="G1" s="963"/>
      <c r="H1" s="963"/>
      <c r="I1" s="964"/>
    </row>
    <row r="2" spans="1:13" ht="16.5" thickBot="1">
      <c r="A2" s="975" t="str">
        <f>BDI!A2</f>
        <v>BAIRRO: MAPIM</v>
      </c>
      <c r="B2" s="976"/>
      <c r="C2" s="976"/>
      <c r="D2" s="976"/>
      <c r="E2" s="976"/>
      <c r="F2" s="976"/>
      <c r="G2" s="976"/>
      <c r="H2" s="976"/>
      <c r="I2" s="977"/>
    </row>
    <row r="3" spans="1:13" ht="14.25" customHeight="1">
      <c r="A3" s="950" t="str">
        <f>BDI!A3</f>
        <v>Rua Belga, Rua Março e Rua Julho</v>
      </c>
      <c r="B3" s="951"/>
      <c r="C3" s="951"/>
      <c r="D3" s="951"/>
      <c r="E3" s="951"/>
      <c r="F3" s="951"/>
      <c r="G3" s="951"/>
      <c r="H3" s="951"/>
      <c r="I3" s="952"/>
    </row>
    <row r="4" spans="1:13" ht="25.5" customHeight="1" thickBot="1">
      <c r="A4" s="953"/>
      <c r="B4" s="954"/>
      <c r="C4" s="954"/>
      <c r="D4" s="954"/>
      <c r="E4" s="954"/>
      <c r="F4" s="954"/>
      <c r="G4" s="954"/>
      <c r="H4" s="954"/>
      <c r="I4" s="955"/>
    </row>
    <row r="5" spans="1:13" ht="15" customHeight="1">
      <c r="A5" s="978" t="str">
        <f>QUANT!B6</f>
        <v>OBRA: PAVIMENTAÇÃO DE VIAS URBANAS</v>
      </c>
      <c r="B5" s="979"/>
      <c r="C5" s="979"/>
      <c r="D5" s="979"/>
      <c r="E5" s="979"/>
      <c r="F5" s="979"/>
      <c r="G5" s="979"/>
      <c r="H5" s="979"/>
      <c r="I5" s="980"/>
    </row>
    <row r="6" spans="1:13" ht="15" customHeight="1" thickBot="1">
      <c r="A6" s="981" t="s">
        <v>96</v>
      </c>
      <c r="B6" s="982"/>
      <c r="C6" s="982"/>
      <c r="D6" s="983"/>
      <c r="E6" s="982"/>
      <c r="F6" s="982"/>
      <c r="G6" s="983"/>
      <c r="H6" s="982"/>
      <c r="I6" s="984"/>
    </row>
    <row r="7" spans="1:13" ht="16.5" customHeight="1">
      <c r="A7" s="944" t="s">
        <v>226</v>
      </c>
      <c r="B7" s="945"/>
      <c r="C7" s="945"/>
      <c r="D7" s="945"/>
      <c r="E7" s="945"/>
      <c r="F7" s="945"/>
      <c r="G7" s="945"/>
      <c r="H7" s="945"/>
      <c r="I7" s="946"/>
    </row>
    <row r="8" spans="1:13" ht="16.5" customHeight="1" thickBot="1">
      <c r="A8" s="947"/>
      <c r="B8" s="948"/>
      <c r="C8" s="948"/>
      <c r="D8" s="948"/>
      <c r="E8" s="948"/>
      <c r="F8" s="948"/>
      <c r="G8" s="948"/>
      <c r="H8" s="948"/>
      <c r="I8" s="949"/>
    </row>
    <row r="9" spans="1:13" ht="15">
      <c r="A9" s="921" t="s">
        <v>37</v>
      </c>
      <c r="B9" s="935" t="s">
        <v>0</v>
      </c>
      <c r="C9" s="966"/>
      <c r="D9" s="967"/>
      <c r="E9" s="18" t="s">
        <v>81</v>
      </c>
      <c r="F9" s="18" t="s">
        <v>82</v>
      </c>
      <c r="G9" s="18" t="s">
        <v>83</v>
      </c>
      <c r="H9" s="18" t="s">
        <v>84</v>
      </c>
      <c r="I9" s="19" t="s">
        <v>85</v>
      </c>
    </row>
    <row r="10" spans="1:13" ht="15.75" thickBot="1">
      <c r="A10" s="965"/>
      <c r="B10" s="968"/>
      <c r="C10" s="969"/>
      <c r="D10" s="970"/>
      <c r="E10" s="20" t="s">
        <v>86</v>
      </c>
      <c r="F10" s="20" t="s">
        <v>87</v>
      </c>
      <c r="G10" s="20" t="s">
        <v>87</v>
      </c>
      <c r="H10" s="20" t="s">
        <v>87</v>
      </c>
      <c r="I10" s="21" t="s">
        <v>87</v>
      </c>
    </row>
    <row r="11" spans="1:13" ht="15">
      <c r="A11" s="13" t="s">
        <v>50</v>
      </c>
      <c r="B11" s="971" t="s">
        <v>88</v>
      </c>
      <c r="C11" s="972"/>
      <c r="D11" s="973"/>
      <c r="E11" s="14">
        <f>SUM(E12:E15)</f>
        <v>5.63</v>
      </c>
      <c r="F11" s="14"/>
      <c r="G11" s="15"/>
      <c r="H11" s="16"/>
      <c r="I11" s="17"/>
    </row>
    <row r="12" spans="1:13" ht="15">
      <c r="A12" s="6" t="s">
        <v>51</v>
      </c>
      <c r="B12" s="974" t="s">
        <v>89</v>
      </c>
      <c r="C12" s="960"/>
      <c r="D12" s="961"/>
      <c r="E12" s="3">
        <v>3.45</v>
      </c>
      <c r="F12" s="3"/>
      <c r="G12" s="3"/>
      <c r="H12" s="4"/>
      <c r="I12" s="5"/>
      <c r="M12" s="12"/>
    </row>
    <row r="13" spans="1:13" s="12" customFormat="1" ht="15">
      <c r="A13" s="48" t="s">
        <v>52</v>
      </c>
      <c r="B13" s="49" t="s">
        <v>136</v>
      </c>
      <c r="C13" s="50"/>
      <c r="D13" s="51"/>
      <c r="E13" s="52">
        <v>0.48</v>
      </c>
      <c r="F13" s="52"/>
      <c r="G13" s="52"/>
      <c r="H13" s="53"/>
      <c r="I13" s="54"/>
    </row>
    <row r="14" spans="1:13" ht="15">
      <c r="A14" s="6" t="s">
        <v>90</v>
      </c>
      <c r="B14" s="974" t="s">
        <v>79</v>
      </c>
      <c r="C14" s="960"/>
      <c r="D14" s="961"/>
      <c r="E14" s="3">
        <v>0.85</v>
      </c>
      <c r="F14" s="3"/>
      <c r="G14" s="3"/>
      <c r="H14" s="4"/>
      <c r="I14" s="5"/>
    </row>
    <row r="15" spans="1:13" ht="15">
      <c r="A15" s="6" t="s">
        <v>135</v>
      </c>
      <c r="B15" s="974" t="s">
        <v>78</v>
      </c>
      <c r="C15" s="960"/>
      <c r="D15" s="961"/>
      <c r="E15" s="3">
        <v>0.85</v>
      </c>
      <c r="F15" s="3"/>
      <c r="G15" s="3"/>
      <c r="H15" s="4"/>
      <c r="I15" s="5"/>
    </row>
    <row r="16" spans="1:13" ht="15">
      <c r="A16" s="55"/>
      <c r="B16" s="987"/>
      <c r="C16" s="988"/>
      <c r="D16" s="989"/>
      <c r="E16" s="56"/>
      <c r="F16" s="57"/>
      <c r="G16" s="56"/>
      <c r="H16" s="58"/>
      <c r="I16" s="59"/>
    </row>
    <row r="17" spans="1:9" ht="15">
      <c r="A17" s="1" t="s">
        <v>38</v>
      </c>
      <c r="B17" s="959" t="s">
        <v>91</v>
      </c>
      <c r="C17" s="960"/>
      <c r="D17" s="961"/>
      <c r="E17" s="2">
        <f>E18</f>
        <v>5.1100000000000003</v>
      </c>
      <c r="F17" s="2"/>
      <c r="G17" s="3"/>
      <c r="H17" s="4"/>
      <c r="I17" s="5"/>
    </row>
    <row r="18" spans="1:9" ht="15">
      <c r="A18" s="6" t="s">
        <v>49</v>
      </c>
      <c r="B18" s="974" t="s">
        <v>92</v>
      </c>
      <c r="C18" s="960"/>
      <c r="D18" s="961"/>
      <c r="E18" s="3">
        <v>5.1100000000000003</v>
      </c>
      <c r="F18" s="3"/>
      <c r="G18" s="3"/>
      <c r="H18" s="4"/>
      <c r="I18" s="5"/>
    </row>
    <row r="19" spans="1:9" ht="15">
      <c r="A19" s="60"/>
      <c r="B19" s="990"/>
      <c r="C19" s="991"/>
      <c r="D19" s="992"/>
      <c r="E19" s="61"/>
      <c r="F19" s="62"/>
      <c r="G19" s="61"/>
      <c r="H19" s="63"/>
      <c r="I19" s="64"/>
    </row>
    <row r="20" spans="1:9" ht="15">
      <c r="A20" s="1" t="s">
        <v>39</v>
      </c>
      <c r="B20" s="959" t="s">
        <v>93</v>
      </c>
      <c r="C20" s="960"/>
      <c r="D20" s="961"/>
      <c r="E20" s="2">
        <f>E21+E22+E24+E23</f>
        <v>3.65</v>
      </c>
      <c r="F20" s="2"/>
      <c r="G20" s="3"/>
      <c r="H20" s="7"/>
      <c r="I20" s="5"/>
    </row>
    <row r="21" spans="1:9" ht="15">
      <c r="A21" s="6" t="s">
        <v>47</v>
      </c>
      <c r="B21" s="974" t="s">
        <v>137</v>
      </c>
      <c r="C21" s="960"/>
      <c r="D21" s="961"/>
      <c r="E21" s="22">
        <v>0.65</v>
      </c>
      <c r="F21" s="3"/>
      <c r="G21" s="3"/>
      <c r="H21" s="7"/>
      <c r="I21" s="5"/>
    </row>
    <row r="22" spans="1:9" ht="15">
      <c r="A22" s="6" t="s">
        <v>40</v>
      </c>
      <c r="B22" s="974" t="s">
        <v>138</v>
      </c>
      <c r="C22" s="960"/>
      <c r="D22" s="961"/>
      <c r="E22" s="3">
        <v>3</v>
      </c>
      <c r="F22" s="3"/>
      <c r="G22" s="3"/>
      <c r="H22" s="7"/>
      <c r="I22" s="5"/>
    </row>
    <row r="23" spans="1:9" ht="15">
      <c r="A23" s="6" t="s">
        <v>56</v>
      </c>
      <c r="B23" s="974" t="s">
        <v>139</v>
      </c>
      <c r="C23" s="985"/>
      <c r="D23" s="986"/>
      <c r="E23" s="3">
        <v>0</v>
      </c>
      <c r="F23" s="3"/>
      <c r="G23" s="3"/>
      <c r="H23" s="7"/>
      <c r="I23" s="5"/>
    </row>
    <row r="24" spans="1:9" ht="15">
      <c r="A24" s="6" t="s">
        <v>57</v>
      </c>
      <c r="B24" s="974" t="s">
        <v>80</v>
      </c>
      <c r="C24" s="960"/>
      <c r="D24" s="961"/>
      <c r="E24" s="3">
        <v>0</v>
      </c>
      <c r="F24" s="3"/>
      <c r="G24" s="3"/>
      <c r="H24" s="4"/>
      <c r="I24" s="5"/>
    </row>
    <row r="25" spans="1:9">
      <c r="A25" s="6"/>
      <c r="B25" s="959" t="s">
        <v>94</v>
      </c>
      <c r="C25" s="960"/>
      <c r="D25" s="961"/>
      <c r="E25" s="8"/>
      <c r="F25" s="8"/>
      <c r="G25" s="9"/>
      <c r="H25" s="10"/>
      <c r="I25" s="11"/>
    </row>
    <row r="26" spans="1:9">
      <c r="A26" s="912" t="s">
        <v>95</v>
      </c>
      <c r="B26" s="998"/>
      <c r="C26" s="998"/>
      <c r="D26" s="999"/>
      <c r="E26" s="902">
        <f>TRUNC(((((1+((E12+E13+E14)/100))*(1+((E15)/100))*(1+((E17/100)))/(1-((E21+E22+E23+E24)/100)))-1)),4)</f>
        <v>0.1527</v>
      </c>
      <c r="F26" s="910"/>
      <c r="G26" s="910"/>
      <c r="H26" s="910"/>
      <c r="I26" s="900">
        <v>0</v>
      </c>
    </row>
    <row r="27" spans="1:9" ht="23.25" customHeight="1" thickBot="1">
      <c r="A27" s="1000"/>
      <c r="B27" s="1001"/>
      <c r="C27" s="1001"/>
      <c r="D27" s="1002"/>
      <c r="E27" s="994"/>
      <c r="F27" s="995"/>
      <c r="G27" s="995"/>
      <c r="H27" s="995"/>
      <c r="I27" s="993"/>
    </row>
    <row r="28" spans="1:9">
      <c r="A28" s="45"/>
      <c r="B28" s="31"/>
      <c r="C28" s="31"/>
      <c r="D28" s="31"/>
      <c r="E28" s="31"/>
      <c r="F28" s="32"/>
      <c r="G28" s="32"/>
      <c r="H28" s="32"/>
      <c r="I28" s="33"/>
    </row>
    <row r="29" spans="1:9" ht="12.75" customHeight="1">
      <c r="A29" s="46" t="s">
        <v>140</v>
      </c>
      <c r="B29" s="34"/>
      <c r="C29" s="12"/>
      <c r="D29" s="12"/>
      <c r="E29" s="12"/>
      <c r="F29" s="23"/>
      <c r="G29" s="25"/>
      <c r="H29" s="23"/>
      <c r="I29" s="24"/>
    </row>
    <row r="30" spans="1:9">
      <c r="A30" s="46"/>
      <c r="B30" s="12"/>
      <c r="C30" s="12"/>
      <c r="D30" s="12"/>
      <c r="E30" s="12"/>
      <c r="F30" s="23"/>
      <c r="G30" s="23"/>
      <c r="H30" s="23"/>
      <c r="I30" s="24"/>
    </row>
    <row r="31" spans="1:9" ht="15.75">
      <c r="A31" s="46"/>
      <c r="B31" s="12"/>
      <c r="C31" s="12"/>
      <c r="D31" s="12"/>
      <c r="E31" s="12"/>
      <c r="F31" s="23"/>
      <c r="G31" s="896"/>
      <c r="H31" s="896"/>
      <c r="I31" s="26"/>
    </row>
    <row r="32" spans="1:9" ht="15.75">
      <c r="A32" s="46"/>
      <c r="B32" s="894"/>
      <c r="C32" s="996"/>
      <c r="D32" s="996"/>
      <c r="E32" s="996"/>
      <c r="F32" s="27"/>
      <c r="G32" s="896"/>
      <c r="H32" s="896"/>
      <c r="I32" s="26"/>
    </row>
    <row r="33" spans="1:9" ht="15.75">
      <c r="A33" s="46"/>
      <c r="B33" s="996"/>
      <c r="C33" s="996"/>
      <c r="D33" s="996"/>
      <c r="E33" s="996"/>
      <c r="F33" s="23"/>
      <c r="G33" s="896"/>
      <c r="H33" s="896"/>
      <c r="I33" s="26"/>
    </row>
    <row r="34" spans="1:9" ht="15.75">
      <c r="A34" s="46"/>
      <c r="B34" s="898"/>
      <c r="C34" s="996"/>
      <c r="D34" s="996"/>
      <c r="E34" s="996"/>
      <c r="F34" s="23"/>
      <c r="G34" s="896"/>
      <c r="H34" s="997"/>
      <c r="I34" s="26"/>
    </row>
    <row r="35" spans="1:9" ht="13.5" thickBot="1">
      <c r="A35" s="47"/>
      <c r="B35" s="982"/>
      <c r="C35" s="982"/>
      <c r="D35" s="982"/>
      <c r="E35" s="982"/>
      <c r="F35" s="29"/>
      <c r="G35" s="28"/>
      <c r="H35" s="29"/>
      <c r="I35" s="30"/>
    </row>
  </sheetData>
  <mergeCells count="36">
    <mergeCell ref="I26:I27"/>
    <mergeCell ref="E26:E27"/>
    <mergeCell ref="F26:F27"/>
    <mergeCell ref="G31:G32"/>
    <mergeCell ref="H31:H32"/>
    <mergeCell ref="B32:E33"/>
    <mergeCell ref="G33:G34"/>
    <mergeCell ref="H33:H34"/>
    <mergeCell ref="B34:E35"/>
    <mergeCell ref="G26:G27"/>
    <mergeCell ref="A26:D27"/>
    <mergeCell ref="H26:H27"/>
    <mergeCell ref="B22:D22"/>
    <mergeCell ref="B23:D23"/>
    <mergeCell ref="B16:D16"/>
    <mergeCell ref="B15:D15"/>
    <mergeCell ref="B17:D17"/>
    <mergeCell ref="B18:D18"/>
    <mergeCell ref="B19:D19"/>
    <mergeCell ref="B20:D20"/>
    <mergeCell ref="B25:D25"/>
    <mergeCell ref="A1:I1"/>
    <mergeCell ref="A9:A10"/>
    <mergeCell ref="B9:D10"/>
    <mergeCell ref="B11:D11"/>
    <mergeCell ref="B12:D12"/>
    <mergeCell ref="A2:I2"/>
    <mergeCell ref="A7:I8"/>
    <mergeCell ref="A5:I5"/>
    <mergeCell ref="A3:I4"/>
    <mergeCell ref="A6:C6"/>
    <mergeCell ref="D6:F6"/>
    <mergeCell ref="G6:I6"/>
    <mergeCell ref="B14:D14"/>
    <mergeCell ref="B24:D24"/>
    <mergeCell ref="B21:D21"/>
  </mergeCells>
  <pageMargins left="0.511811024" right="0.511811024" top="0.78740157499999996" bottom="0.78740157499999996" header="0.31496062000000002" footer="0.31496062000000002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ilha1"/>
  <dimension ref="A1:K9"/>
  <sheetViews>
    <sheetView zoomScale="115" zoomScaleNormal="115" workbookViewId="0">
      <selection activeCell="D18" sqref="D18"/>
    </sheetView>
  </sheetViews>
  <sheetFormatPr defaultRowHeight="12.75"/>
  <cols>
    <col min="1" max="1" width="3.42578125" bestFit="1" customWidth="1"/>
    <col min="2" max="2" width="11.42578125" bestFit="1" customWidth="1"/>
    <col min="3" max="3" width="68.5703125" bestFit="1" customWidth="1"/>
    <col min="4" max="4" width="34.28515625" bestFit="1" customWidth="1"/>
    <col min="5" max="5" width="11.42578125" bestFit="1" customWidth="1"/>
    <col min="6" max="6" width="14.5703125" customWidth="1"/>
    <col min="7" max="7" width="13.7109375" bestFit="1" customWidth="1"/>
    <col min="8" max="8" width="15.140625" customWidth="1"/>
  </cols>
  <sheetData>
    <row r="1" spans="1:11" ht="13.5">
      <c r="A1" s="1007" t="s">
        <v>231</v>
      </c>
      <c r="B1" s="1008"/>
      <c r="C1" s="1008"/>
      <c r="D1" s="1008"/>
      <c r="E1" s="1008"/>
      <c r="F1" s="1008"/>
      <c r="G1" s="1008"/>
      <c r="H1" s="1009"/>
    </row>
    <row r="2" spans="1:11">
      <c r="A2" s="1003" t="s">
        <v>232</v>
      </c>
      <c r="B2" s="1004"/>
      <c r="C2" s="1004" t="s">
        <v>233</v>
      </c>
      <c r="D2" s="1005"/>
      <c r="E2" s="1005"/>
      <c r="F2" s="1005"/>
      <c r="G2" s="1005"/>
      <c r="H2" s="1006"/>
      <c r="K2" s="43"/>
    </row>
    <row r="3" spans="1:11" ht="28.5" customHeight="1">
      <c r="A3" s="1003" t="s">
        <v>234</v>
      </c>
      <c r="B3" s="1004"/>
      <c r="C3" s="1004" t="s">
        <v>235</v>
      </c>
      <c r="D3" s="1005"/>
      <c r="E3" s="1005"/>
      <c r="F3" s="1005"/>
      <c r="G3" s="1005"/>
      <c r="H3" s="1006"/>
    </row>
    <row r="4" spans="1:11">
      <c r="A4" s="1003" t="s">
        <v>236</v>
      </c>
      <c r="B4" s="1004"/>
      <c r="C4" s="1004" t="s">
        <v>296</v>
      </c>
      <c r="D4" s="1005"/>
      <c r="E4" s="1005"/>
      <c r="F4" s="1005"/>
      <c r="G4" s="1005"/>
      <c r="H4" s="1006"/>
    </row>
    <row r="5" spans="1:11">
      <c r="A5" s="1003" t="s">
        <v>237</v>
      </c>
      <c r="B5" s="1004"/>
      <c r="C5" s="1004" t="s">
        <v>238</v>
      </c>
      <c r="D5" s="1005"/>
      <c r="E5" s="1005"/>
      <c r="F5" s="1005"/>
      <c r="G5" s="1005"/>
      <c r="H5" s="1006"/>
    </row>
    <row r="6" spans="1:11">
      <c r="A6" s="1003" t="s">
        <v>239</v>
      </c>
      <c r="B6" s="1004"/>
      <c r="C6" s="1004" t="s">
        <v>240</v>
      </c>
      <c r="D6" s="1005"/>
      <c r="E6" s="1005"/>
      <c r="F6" s="1005"/>
      <c r="G6" s="1005"/>
      <c r="H6" s="1006"/>
    </row>
    <row r="7" spans="1:11">
      <c r="A7" s="1003" t="s">
        <v>241</v>
      </c>
      <c r="B7" s="1004"/>
      <c r="C7" s="1004" t="s">
        <v>242</v>
      </c>
      <c r="D7" s="1005"/>
      <c r="E7" s="1005"/>
      <c r="F7" s="1005"/>
      <c r="G7" s="1005"/>
      <c r="H7" s="1006"/>
    </row>
    <row r="8" spans="1:11" ht="30">
      <c r="A8" s="35"/>
      <c r="B8" s="36" t="s">
        <v>243</v>
      </c>
      <c r="C8" s="36" t="s">
        <v>234</v>
      </c>
      <c r="D8" s="36" t="s">
        <v>239</v>
      </c>
      <c r="E8" s="36" t="s">
        <v>241</v>
      </c>
      <c r="F8" s="36" t="s">
        <v>244</v>
      </c>
      <c r="G8" s="36" t="s">
        <v>245</v>
      </c>
      <c r="H8" s="37" t="s">
        <v>244</v>
      </c>
    </row>
    <row r="9" spans="1:11" ht="26.25" thickBot="1">
      <c r="A9" s="38" t="s">
        <v>227</v>
      </c>
      <c r="B9" s="39" t="s">
        <v>246</v>
      </c>
      <c r="C9" s="40" t="s">
        <v>247</v>
      </c>
      <c r="D9" s="39" t="s">
        <v>248</v>
      </c>
      <c r="E9" s="39" t="s">
        <v>242</v>
      </c>
      <c r="F9" s="41">
        <v>457.03</v>
      </c>
      <c r="G9" s="39" t="s">
        <v>249</v>
      </c>
      <c r="H9" s="42">
        <f>G9*F9</f>
        <v>457.03</v>
      </c>
    </row>
  </sheetData>
  <mergeCells count="13">
    <mergeCell ref="A5:B5"/>
    <mergeCell ref="C5:H5"/>
    <mergeCell ref="A6:B6"/>
    <mergeCell ref="C6:H6"/>
    <mergeCell ref="A7:B7"/>
    <mergeCell ref="C7:H7"/>
    <mergeCell ref="A4:B4"/>
    <mergeCell ref="C4:H4"/>
    <mergeCell ref="A1:H1"/>
    <mergeCell ref="A2:B2"/>
    <mergeCell ref="C2:H2"/>
    <mergeCell ref="A3:B3"/>
    <mergeCell ref="C3:H3"/>
  </mergeCells>
  <pageMargins left="0.511811024" right="0.511811024" top="0.78740157499999996" bottom="0.78740157499999996" header="0.31496062000000002" footer="0.31496062000000002"/>
  <ignoredErrors>
    <ignoredError sqref="G9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Planilha2"/>
  <dimension ref="B2:Z523"/>
  <sheetViews>
    <sheetView topLeftCell="A36" zoomScale="115" zoomScaleNormal="115" workbookViewId="0">
      <selection activeCell="S52" sqref="B37:V52"/>
    </sheetView>
  </sheetViews>
  <sheetFormatPr defaultColWidth="9.140625" defaultRowHeight="12.75"/>
  <cols>
    <col min="1" max="1" width="9.140625" style="12"/>
    <col min="2" max="2" width="1" style="215" customWidth="1"/>
    <col min="3" max="3" width="6.140625" style="215" customWidth="1"/>
    <col min="4" max="4" width="2.140625" style="216" customWidth="1"/>
    <col min="5" max="5" width="18.42578125" style="216" customWidth="1"/>
    <col min="6" max="6" width="0.85546875" style="216" customWidth="1"/>
    <col min="7" max="7" width="15.42578125" style="216" customWidth="1"/>
    <col min="8" max="8" width="10.140625" style="216" customWidth="1"/>
    <col min="9" max="9" width="3.140625" style="216" customWidth="1"/>
    <col min="10" max="10" width="8.140625" style="216" customWidth="1"/>
    <col min="11" max="11" width="1" style="215" customWidth="1"/>
    <col min="12" max="12" width="8.140625" style="215" customWidth="1"/>
    <col min="13" max="14" width="1" style="215" customWidth="1"/>
    <col min="15" max="15" width="7.140625" style="44" customWidth="1"/>
    <col min="16" max="17" width="1" style="44" customWidth="1"/>
    <col min="18" max="18" width="2" style="44" customWidth="1"/>
    <col min="19" max="19" width="2" style="215" customWidth="1"/>
    <col min="20" max="20" width="1" style="215" customWidth="1"/>
    <col min="21" max="21" width="6.140625" style="215" customWidth="1"/>
    <col min="22" max="22" width="1" style="215" customWidth="1"/>
    <col min="23" max="23" width="11.28515625" style="12" bestFit="1" customWidth="1"/>
    <col min="24" max="25" width="9.140625" style="12"/>
    <col min="26" max="26" width="13" style="12" bestFit="1" customWidth="1"/>
    <col min="27" max="16384" width="9.140625" style="12"/>
  </cols>
  <sheetData>
    <row r="2" spans="2:22" ht="17.25" customHeight="1">
      <c r="B2" s="514"/>
      <c r="C2" s="1063" t="s">
        <v>320</v>
      </c>
      <c r="D2" s="1063"/>
      <c r="E2" s="1063"/>
      <c r="F2" s="515"/>
      <c r="G2" s="1166" t="s">
        <v>647</v>
      </c>
      <c r="H2" s="1166"/>
      <c r="I2" s="1166"/>
      <c r="J2" s="1166"/>
      <c r="K2" s="1166"/>
      <c r="L2" s="1166"/>
      <c r="M2" s="516"/>
      <c r="N2" s="1043" t="s">
        <v>644</v>
      </c>
      <c r="O2" s="1043"/>
      <c r="P2" s="1043"/>
      <c r="Q2" s="1043"/>
      <c r="R2" s="1043"/>
      <c r="S2" s="1043"/>
      <c r="T2" s="1043"/>
      <c r="U2" s="1043"/>
      <c r="V2" s="517"/>
    </row>
    <row r="3" spans="2:22" ht="17.45" customHeight="1">
      <c r="B3" s="518"/>
      <c r="C3" s="1078" t="s">
        <v>321</v>
      </c>
      <c r="D3" s="1078"/>
      <c r="E3" s="1080" t="s">
        <v>541</v>
      </c>
      <c r="F3" s="1080"/>
      <c r="G3" s="1080"/>
      <c r="H3" s="1080"/>
      <c r="I3" s="1080"/>
      <c r="J3" s="1080"/>
      <c r="K3" s="1066" t="s">
        <v>322</v>
      </c>
      <c r="L3" s="1066"/>
      <c r="M3" s="211"/>
      <c r="N3" s="1067" t="s">
        <v>323</v>
      </c>
      <c r="O3" s="1067"/>
      <c r="P3" s="1067"/>
      <c r="Q3" s="541"/>
      <c r="R3" s="541"/>
      <c r="S3" s="211"/>
      <c r="T3" s="211"/>
      <c r="U3" s="211"/>
      <c r="V3" s="519"/>
    </row>
    <row r="4" spans="2:22" ht="17.45" customHeight="1">
      <c r="B4" s="520"/>
      <c r="C4" s="1079"/>
      <c r="D4" s="1079"/>
      <c r="E4" s="1081"/>
      <c r="F4" s="1081"/>
      <c r="G4" s="1081"/>
      <c r="H4" s="1081"/>
      <c r="I4" s="1081"/>
      <c r="J4" s="1081"/>
      <c r="K4" s="1068" t="s">
        <v>324</v>
      </c>
      <c r="L4" s="1068"/>
      <c r="M4" s="212"/>
      <c r="N4" s="1069">
        <v>1</v>
      </c>
      <c r="O4" s="1069"/>
      <c r="P4" s="1069"/>
      <c r="Q4" s="542"/>
      <c r="R4" s="1068" t="s">
        <v>325</v>
      </c>
      <c r="S4" s="1068"/>
      <c r="T4" s="212"/>
      <c r="U4" s="213" t="s">
        <v>326</v>
      </c>
      <c r="V4" s="521"/>
    </row>
    <row r="5" spans="2:22" ht="17.45" customHeight="1">
      <c r="B5" s="1050" t="s">
        <v>327</v>
      </c>
      <c r="C5" s="1051"/>
      <c r="D5" s="1052" t="s">
        <v>234</v>
      </c>
      <c r="E5" s="1052"/>
      <c r="F5" s="1052"/>
      <c r="G5" s="1052"/>
      <c r="H5" s="1052"/>
      <c r="I5" s="1052"/>
      <c r="J5" s="1051" t="s">
        <v>241</v>
      </c>
      <c r="K5" s="1051"/>
      <c r="L5" s="1051" t="s">
        <v>245</v>
      </c>
      <c r="M5" s="1051"/>
      <c r="N5" s="1051"/>
      <c r="O5" s="1053" t="s">
        <v>328</v>
      </c>
      <c r="P5" s="1053"/>
      <c r="Q5" s="1053"/>
      <c r="R5" s="1053"/>
      <c r="S5" s="1052" t="s">
        <v>329</v>
      </c>
      <c r="T5" s="1052"/>
      <c r="U5" s="1052"/>
      <c r="V5" s="1054"/>
    </row>
    <row r="6" spans="2:22" ht="17.45" customHeight="1">
      <c r="B6" s="522"/>
      <c r="C6" s="264" t="s">
        <v>330</v>
      </c>
      <c r="D6" s="1155" t="s">
        <v>331</v>
      </c>
      <c r="E6" s="1156"/>
      <c r="F6" s="1156"/>
      <c r="G6" s="1156"/>
      <c r="H6" s="1156"/>
      <c r="I6" s="1157"/>
      <c r="J6" s="1158" t="s">
        <v>332</v>
      </c>
      <c r="K6" s="1159"/>
      <c r="L6" s="1160">
        <v>0.01</v>
      </c>
      <c r="M6" s="1161"/>
      <c r="N6" s="1162"/>
      <c r="O6" s="1121">
        <v>443.98</v>
      </c>
      <c r="P6" s="1122"/>
      <c r="Q6" s="1122"/>
      <c r="R6" s="1123"/>
      <c r="S6" s="1163">
        <f>O6*L6</f>
        <v>4.4398</v>
      </c>
      <c r="T6" s="1164"/>
      <c r="U6" s="1164"/>
      <c r="V6" s="1165"/>
    </row>
    <row r="7" spans="2:22" ht="17.45" customHeight="1">
      <c r="B7" s="523"/>
      <c r="C7" s="263">
        <v>88262</v>
      </c>
      <c r="D7" s="1147" t="s">
        <v>334</v>
      </c>
      <c r="E7" s="1148"/>
      <c r="F7" s="1148"/>
      <c r="G7" s="1148"/>
      <c r="H7" s="1148"/>
      <c r="I7" s="1149"/>
      <c r="J7" s="1150" t="s">
        <v>335</v>
      </c>
      <c r="K7" s="1151"/>
      <c r="L7" s="1152">
        <v>1</v>
      </c>
      <c r="M7" s="1153"/>
      <c r="N7" s="1154"/>
      <c r="O7" s="1112">
        <v>23.95</v>
      </c>
      <c r="P7" s="1113"/>
      <c r="Q7" s="1113"/>
      <c r="R7" s="1114"/>
      <c r="S7" s="1011">
        <f t="shared" ref="S7:S12" si="0">O7*L7</f>
        <v>23.95</v>
      </c>
      <c r="T7" s="1012"/>
      <c r="U7" s="1012"/>
      <c r="V7" s="1013"/>
    </row>
    <row r="8" spans="2:22" ht="17.45" customHeight="1">
      <c r="B8" s="523"/>
      <c r="C8" s="263">
        <v>88316</v>
      </c>
      <c r="D8" s="1147" t="s">
        <v>337</v>
      </c>
      <c r="E8" s="1148"/>
      <c r="F8" s="1148"/>
      <c r="G8" s="1148"/>
      <c r="H8" s="1148"/>
      <c r="I8" s="1149"/>
      <c r="J8" s="1150" t="s">
        <v>335</v>
      </c>
      <c r="K8" s="1151"/>
      <c r="L8" s="1152">
        <v>2</v>
      </c>
      <c r="M8" s="1153"/>
      <c r="N8" s="1154"/>
      <c r="O8" s="1112">
        <v>19.28</v>
      </c>
      <c r="P8" s="1113"/>
      <c r="Q8" s="1113"/>
      <c r="R8" s="1114"/>
      <c r="S8" s="1011">
        <f t="shared" si="0"/>
        <v>38.56</v>
      </c>
      <c r="T8" s="1012"/>
      <c r="U8" s="1012"/>
      <c r="V8" s="1013"/>
    </row>
    <row r="9" spans="2:22" ht="17.45" customHeight="1">
      <c r="B9" s="523"/>
      <c r="C9" s="263" t="s">
        <v>338</v>
      </c>
      <c r="D9" s="1147" t="s">
        <v>339</v>
      </c>
      <c r="E9" s="1148"/>
      <c r="F9" s="1148"/>
      <c r="G9" s="1148"/>
      <c r="H9" s="1148"/>
      <c r="I9" s="1149"/>
      <c r="J9" s="1150" t="s">
        <v>340</v>
      </c>
      <c r="K9" s="1151"/>
      <c r="L9" s="1152">
        <v>1</v>
      </c>
      <c r="M9" s="1153"/>
      <c r="N9" s="1154"/>
      <c r="O9" s="1112">
        <v>6.82</v>
      </c>
      <c r="P9" s="1113"/>
      <c r="Q9" s="1113"/>
      <c r="R9" s="1114"/>
      <c r="S9" s="1011">
        <f t="shared" si="0"/>
        <v>6.82</v>
      </c>
      <c r="T9" s="1012"/>
      <c r="U9" s="1012"/>
      <c r="V9" s="1013"/>
    </row>
    <row r="10" spans="2:22" ht="17.45" customHeight="1">
      <c r="B10" s="523"/>
      <c r="C10" s="263">
        <v>4491</v>
      </c>
      <c r="D10" s="1147" t="s">
        <v>342</v>
      </c>
      <c r="E10" s="1148"/>
      <c r="F10" s="1148"/>
      <c r="G10" s="1148"/>
      <c r="H10" s="1148"/>
      <c r="I10" s="1149"/>
      <c r="J10" s="1150" t="s">
        <v>340</v>
      </c>
      <c r="K10" s="1151"/>
      <c r="L10" s="1152">
        <v>4</v>
      </c>
      <c r="M10" s="1153"/>
      <c r="N10" s="1154"/>
      <c r="O10" s="1112">
        <v>11.67</v>
      </c>
      <c r="P10" s="1113"/>
      <c r="Q10" s="1113"/>
      <c r="R10" s="1114"/>
      <c r="S10" s="1011">
        <f t="shared" si="0"/>
        <v>46.68</v>
      </c>
      <c r="T10" s="1012"/>
      <c r="U10" s="1012"/>
      <c r="V10" s="1013"/>
    </row>
    <row r="11" spans="2:22" ht="17.45" customHeight="1">
      <c r="B11" s="523"/>
      <c r="C11" s="263" t="s">
        <v>343</v>
      </c>
      <c r="D11" s="1147" t="s">
        <v>344</v>
      </c>
      <c r="E11" s="1148"/>
      <c r="F11" s="1148"/>
      <c r="G11" s="1148"/>
      <c r="H11" s="1148"/>
      <c r="I11" s="1149"/>
      <c r="J11" s="1150" t="s">
        <v>326</v>
      </c>
      <c r="K11" s="1151"/>
      <c r="L11" s="1152">
        <v>1</v>
      </c>
      <c r="M11" s="1153"/>
      <c r="N11" s="1154"/>
      <c r="O11" s="1112">
        <v>300</v>
      </c>
      <c r="P11" s="1113"/>
      <c r="Q11" s="1113"/>
      <c r="R11" s="1114"/>
      <c r="S11" s="1011">
        <f t="shared" si="0"/>
        <v>300</v>
      </c>
      <c r="T11" s="1012"/>
      <c r="U11" s="1012"/>
      <c r="V11" s="1013"/>
    </row>
    <row r="12" spans="2:22" ht="17.45" customHeight="1">
      <c r="B12" s="524"/>
      <c r="C12" s="263">
        <v>5075</v>
      </c>
      <c r="D12" s="1137" t="s">
        <v>345</v>
      </c>
      <c r="E12" s="1138"/>
      <c r="F12" s="1138"/>
      <c r="G12" s="1138"/>
      <c r="H12" s="1138"/>
      <c r="I12" s="1139"/>
      <c r="J12" s="1140" t="s">
        <v>346</v>
      </c>
      <c r="K12" s="1141"/>
      <c r="L12" s="1142">
        <v>0.11</v>
      </c>
      <c r="M12" s="1143"/>
      <c r="N12" s="1144"/>
      <c r="O12" s="1098">
        <v>26.35</v>
      </c>
      <c r="P12" s="1099"/>
      <c r="Q12" s="1099"/>
      <c r="R12" s="1100"/>
      <c r="S12" s="1057">
        <f t="shared" si="0"/>
        <v>2.8985000000000003</v>
      </c>
      <c r="T12" s="1058"/>
      <c r="U12" s="1058"/>
      <c r="V12" s="1059"/>
    </row>
    <row r="13" spans="2:22" ht="17.45" customHeight="1">
      <c r="B13" s="1023"/>
      <c r="C13" s="1145"/>
      <c r="D13" s="1145"/>
      <c r="E13" s="1145"/>
      <c r="F13" s="1145"/>
      <c r="G13" s="1145"/>
      <c r="H13" s="1145"/>
      <c r="I13" s="1025" t="s">
        <v>347</v>
      </c>
      <c r="J13" s="1025"/>
      <c r="K13" s="1025"/>
      <c r="L13" s="1025"/>
      <c r="M13" s="1025"/>
      <c r="N13" s="1025"/>
      <c r="O13" s="1025"/>
      <c r="P13" s="1025"/>
      <c r="Q13" s="1025"/>
      <c r="R13" s="1025"/>
      <c r="S13" s="1146">
        <f>SUM(S6:V12)</f>
        <v>423.34829999999999</v>
      </c>
      <c r="T13" s="1146"/>
      <c r="U13" s="1146"/>
      <c r="V13" s="1027"/>
    </row>
    <row r="14" spans="2:22" ht="17.45" customHeight="1">
      <c r="B14" s="1133"/>
      <c r="C14" s="1134"/>
      <c r="D14" s="1134"/>
      <c r="E14" s="1134"/>
      <c r="F14" s="1134"/>
      <c r="G14" s="1134"/>
      <c r="H14" s="1134"/>
      <c r="I14" s="1134"/>
      <c r="J14" s="1134"/>
      <c r="K14" s="1134"/>
      <c r="L14" s="1134"/>
      <c r="M14" s="1134"/>
      <c r="N14" s="1134"/>
      <c r="O14" s="1134"/>
      <c r="P14" s="1134"/>
      <c r="Q14" s="1134"/>
      <c r="R14" s="1134"/>
      <c r="S14" s="1134"/>
      <c r="T14" s="1134"/>
      <c r="U14" s="1134"/>
      <c r="V14" s="1135"/>
    </row>
    <row r="15" spans="2:22" ht="17.45" customHeight="1">
      <c r="B15" s="1031"/>
      <c r="C15" s="1136"/>
      <c r="D15" s="1136"/>
      <c r="E15" s="1136"/>
      <c r="F15" s="1136"/>
      <c r="G15" s="1136"/>
      <c r="H15" s="1136"/>
      <c r="I15" s="1033" t="s">
        <v>348</v>
      </c>
      <c r="J15" s="1033"/>
      <c r="K15" s="1033"/>
      <c r="L15" s="1033"/>
      <c r="M15" s="1033"/>
      <c r="N15" s="1033"/>
      <c r="O15" s="1033"/>
      <c r="P15" s="1033"/>
      <c r="Q15" s="1033"/>
      <c r="R15" s="1033"/>
      <c r="S15" s="1012">
        <f>S13</f>
        <v>423.34829999999999</v>
      </c>
      <c r="T15" s="1012"/>
      <c r="U15" s="1012"/>
      <c r="V15" s="1013"/>
    </row>
    <row r="16" spans="2:22" ht="17.45" customHeight="1">
      <c r="B16" s="1031"/>
      <c r="C16" s="1136"/>
      <c r="D16" s="1136"/>
      <c r="E16" s="1136"/>
      <c r="F16" s="1136"/>
      <c r="G16" s="1136"/>
      <c r="H16" s="1033" t="s">
        <v>349</v>
      </c>
      <c r="I16" s="1033"/>
      <c r="J16" s="1033"/>
      <c r="K16" s="1033"/>
      <c r="L16" s="1033"/>
      <c r="M16" s="1035">
        <v>20.7</v>
      </c>
      <c r="N16" s="1035"/>
      <c r="O16" s="1035"/>
      <c r="P16" s="1036" t="s">
        <v>350</v>
      </c>
      <c r="Q16" s="1036"/>
      <c r="R16" s="1036"/>
      <c r="S16" s="1012">
        <f>TRUNC(S15*M16%,2)</f>
        <v>87.63</v>
      </c>
      <c r="T16" s="1012"/>
      <c r="U16" s="1012"/>
      <c r="V16" s="1013"/>
    </row>
    <row r="17" spans="2:22" ht="17.45" customHeight="1">
      <c r="B17" s="1014"/>
      <c r="C17" s="1132"/>
      <c r="D17" s="1132"/>
      <c r="E17" s="1132"/>
      <c r="F17" s="1132"/>
      <c r="G17" s="1132"/>
      <c r="H17" s="1132"/>
      <c r="I17" s="1016" t="s">
        <v>351</v>
      </c>
      <c r="J17" s="1016"/>
      <c r="K17" s="1016"/>
      <c r="L17" s="1016"/>
      <c r="M17" s="1016"/>
      <c r="N17" s="1016"/>
      <c r="O17" s="1016"/>
      <c r="P17" s="1016"/>
      <c r="Q17" s="1016"/>
      <c r="R17" s="1016"/>
      <c r="S17" s="1017">
        <f>S15+S16</f>
        <v>510.97829999999999</v>
      </c>
      <c r="T17" s="1017"/>
      <c r="U17" s="1017"/>
      <c r="V17" s="1018"/>
    </row>
    <row r="18" spans="2:22" ht="144.94999999999999" customHeight="1">
      <c r="B18" s="214"/>
      <c r="V18" s="217"/>
    </row>
    <row r="19" spans="2:22" ht="144.94999999999999" customHeight="1">
      <c r="B19" s="214"/>
      <c r="V19" s="217"/>
    </row>
    <row r="20" spans="2:22" ht="144.94999999999999" customHeight="1">
      <c r="B20" s="214"/>
      <c r="V20" s="217"/>
    </row>
    <row r="21" spans="2:22" ht="17.45" customHeight="1">
      <c r="B21" s="214"/>
      <c r="C21" s="525"/>
      <c r="D21" s="526"/>
      <c r="E21" s="526"/>
      <c r="F21" s="526"/>
      <c r="G21" s="526"/>
      <c r="H21" s="526"/>
      <c r="I21" s="526"/>
      <c r="J21" s="526"/>
      <c r="K21" s="525"/>
      <c r="L21" s="525"/>
      <c r="M21" s="525"/>
      <c r="N21" s="525"/>
      <c r="O21" s="543"/>
      <c r="P21" s="543"/>
      <c r="Q21" s="543"/>
      <c r="R21" s="543"/>
      <c r="S21" s="525"/>
      <c r="T21" s="525"/>
      <c r="U21" s="525"/>
      <c r="V21" s="217"/>
    </row>
    <row r="22" spans="2:22" ht="17.45" customHeight="1">
      <c r="B22" s="514"/>
      <c r="C22" s="1063" t="s">
        <v>320</v>
      </c>
      <c r="D22" s="1063"/>
      <c r="E22" s="1063"/>
      <c r="F22" s="515"/>
      <c r="G22" s="1042" t="str">
        <f>G2</f>
        <v>Data Base: Dez./2022 (SINAPI) e Jul./2022 (SICRO) sem desoneração</v>
      </c>
      <c r="H22" s="1042"/>
      <c r="I22" s="1042"/>
      <c r="J22" s="1042"/>
      <c r="K22" s="1042"/>
      <c r="L22" s="1042"/>
      <c r="M22" s="516"/>
      <c r="N22" s="1043" t="s">
        <v>644</v>
      </c>
      <c r="O22" s="1043"/>
      <c r="P22" s="1043"/>
      <c r="Q22" s="1043"/>
      <c r="R22" s="1043"/>
      <c r="S22" s="1043"/>
      <c r="T22" s="1043"/>
      <c r="U22" s="1043"/>
      <c r="V22" s="517"/>
    </row>
    <row r="23" spans="2:22" ht="17.45" customHeight="1">
      <c r="B23" s="518"/>
      <c r="C23" s="1064" t="s">
        <v>321</v>
      </c>
      <c r="D23" s="1064"/>
      <c r="E23" s="1065" t="s">
        <v>54</v>
      </c>
      <c r="F23" s="1065"/>
      <c r="G23" s="1065"/>
      <c r="H23" s="1065"/>
      <c r="I23" s="1065"/>
      <c r="J23" s="1065"/>
      <c r="K23" s="1066" t="s">
        <v>322</v>
      </c>
      <c r="L23" s="1066"/>
      <c r="M23" s="211"/>
      <c r="N23" s="1067" t="s">
        <v>353</v>
      </c>
      <c r="O23" s="1067"/>
      <c r="P23" s="1067"/>
      <c r="Q23" s="541"/>
      <c r="R23" s="541"/>
      <c r="S23" s="211"/>
      <c r="T23" s="211"/>
      <c r="U23" s="211"/>
      <c r="V23" s="519"/>
    </row>
    <row r="24" spans="2:22" ht="17.45" customHeight="1">
      <c r="B24" s="520"/>
      <c r="C24" s="1064"/>
      <c r="D24" s="1064"/>
      <c r="E24" s="1065"/>
      <c r="F24" s="1065"/>
      <c r="G24" s="1065"/>
      <c r="H24" s="1065"/>
      <c r="I24" s="1065"/>
      <c r="J24" s="1065"/>
      <c r="K24" s="1068" t="s">
        <v>324</v>
      </c>
      <c r="L24" s="1068"/>
      <c r="M24" s="212"/>
      <c r="N24" s="1069">
        <v>1</v>
      </c>
      <c r="O24" s="1069"/>
      <c r="P24" s="1069"/>
      <c r="Q24" s="542"/>
      <c r="R24" s="1068" t="s">
        <v>325</v>
      </c>
      <c r="S24" s="1068"/>
      <c r="T24" s="212"/>
      <c r="U24" s="213" t="s">
        <v>55</v>
      </c>
      <c r="V24" s="521"/>
    </row>
    <row r="25" spans="2:22" ht="17.45" customHeight="1">
      <c r="B25" s="1050" t="s">
        <v>327</v>
      </c>
      <c r="C25" s="1051"/>
      <c r="D25" s="1052" t="s">
        <v>234</v>
      </c>
      <c r="E25" s="1052"/>
      <c r="F25" s="1052"/>
      <c r="G25" s="1052"/>
      <c r="H25" s="1052"/>
      <c r="I25" s="1052"/>
      <c r="J25" s="1051" t="s">
        <v>241</v>
      </c>
      <c r="K25" s="1051"/>
      <c r="L25" s="1051" t="s">
        <v>245</v>
      </c>
      <c r="M25" s="1051"/>
      <c r="N25" s="1051"/>
      <c r="O25" s="1053" t="s">
        <v>328</v>
      </c>
      <c r="P25" s="1053"/>
      <c r="Q25" s="1053"/>
      <c r="R25" s="1053"/>
      <c r="S25" s="1052" t="s">
        <v>329</v>
      </c>
      <c r="T25" s="1052"/>
      <c r="U25" s="1052"/>
      <c r="V25" s="1054"/>
    </row>
    <row r="26" spans="2:22" ht="17.45" customHeight="1">
      <c r="B26" s="527"/>
      <c r="C26" s="265">
        <v>10776</v>
      </c>
      <c r="D26" s="1072" t="s">
        <v>354</v>
      </c>
      <c r="E26" s="1072"/>
      <c r="F26" s="1072"/>
      <c r="G26" s="1072"/>
      <c r="H26" s="1072"/>
      <c r="I26" s="1072"/>
      <c r="J26" s="1074">
        <v>1</v>
      </c>
      <c r="K26" s="1074"/>
      <c r="L26" s="1131">
        <v>1</v>
      </c>
      <c r="M26" s="1131"/>
      <c r="N26" s="1131"/>
      <c r="O26" s="1075">
        <v>648.42999999999995</v>
      </c>
      <c r="P26" s="1075"/>
      <c r="Q26" s="1075"/>
      <c r="R26" s="1075"/>
      <c r="S26" s="1076">
        <f>O26*L26</f>
        <v>648.42999999999995</v>
      </c>
      <c r="T26" s="1076"/>
      <c r="U26" s="1076"/>
      <c r="V26" s="1077"/>
    </row>
    <row r="27" spans="2:22" ht="17.45" customHeight="1">
      <c r="B27" s="1023"/>
      <c r="C27" s="1024"/>
      <c r="D27" s="1024"/>
      <c r="E27" s="1024"/>
      <c r="F27" s="1024"/>
      <c r="G27" s="1024"/>
      <c r="H27" s="1024"/>
      <c r="I27" s="1025" t="s">
        <v>347</v>
      </c>
      <c r="J27" s="1025"/>
      <c r="K27" s="1025"/>
      <c r="L27" s="1025"/>
      <c r="M27" s="1025"/>
      <c r="N27" s="1025"/>
      <c r="O27" s="1025"/>
      <c r="P27" s="1025"/>
      <c r="Q27" s="1025"/>
      <c r="R27" s="1025"/>
      <c r="S27" s="1026">
        <f>S26</f>
        <v>648.42999999999995</v>
      </c>
      <c r="T27" s="1026"/>
      <c r="U27" s="1026"/>
      <c r="V27" s="1027"/>
    </row>
    <row r="28" spans="2:22" ht="17.45" customHeight="1">
      <c r="B28" s="1028"/>
      <c r="C28" s="1029"/>
      <c r="D28" s="1029"/>
      <c r="E28" s="1029"/>
      <c r="F28" s="1029"/>
      <c r="G28" s="1029"/>
      <c r="H28" s="1029"/>
      <c r="I28" s="1029"/>
      <c r="J28" s="1029"/>
      <c r="K28" s="1029"/>
      <c r="L28" s="1029"/>
      <c r="M28" s="1029"/>
      <c r="N28" s="1029"/>
      <c r="O28" s="1029"/>
      <c r="P28" s="1029"/>
      <c r="Q28" s="1029"/>
      <c r="R28" s="1029"/>
      <c r="S28" s="1029"/>
      <c r="T28" s="1029"/>
      <c r="U28" s="1029"/>
      <c r="V28" s="1030"/>
    </row>
    <row r="29" spans="2:22" ht="17.45" customHeight="1">
      <c r="B29" s="1031"/>
      <c r="C29" s="1032"/>
      <c r="D29" s="1032"/>
      <c r="E29" s="1032"/>
      <c r="F29" s="1032"/>
      <c r="G29" s="1032"/>
      <c r="H29" s="1032"/>
      <c r="I29" s="1033" t="s">
        <v>348</v>
      </c>
      <c r="J29" s="1033"/>
      <c r="K29" s="1033"/>
      <c r="L29" s="1033"/>
      <c r="M29" s="1033"/>
      <c r="N29" s="1033"/>
      <c r="O29" s="1033"/>
      <c r="P29" s="1033"/>
      <c r="Q29" s="1033"/>
      <c r="R29" s="1033"/>
      <c r="S29" s="1012">
        <f>S27</f>
        <v>648.42999999999995</v>
      </c>
      <c r="T29" s="1012"/>
      <c r="U29" s="1012"/>
      <c r="V29" s="1013"/>
    </row>
    <row r="30" spans="2:22" ht="17.45" customHeight="1">
      <c r="B30" s="1031"/>
      <c r="C30" s="1032"/>
      <c r="D30" s="1032"/>
      <c r="E30" s="1032"/>
      <c r="F30" s="1032"/>
      <c r="G30" s="1032"/>
      <c r="H30" s="1033" t="s">
        <v>349</v>
      </c>
      <c r="I30" s="1033"/>
      <c r="J30" s="1033"/>
      <c r="K30" s="1033"/>
      <c r="L30" s="1033"/>
      <c r="M30" s="1035">
        <v>20.7</v>
      </c>
      <c r="N30" s="1035"/>
      <c r="O30" s="1035"/>
      <c r="P30" s="1036" t="s">
        <v>350</v>
      </c>
      <c r="Q30" s="1036"/>
      <c r="R30" s="1036"/>
      <c r="S30" s="1012">
        <f>TRUNC(S29*M30%,2)</f>
        <v>134.22</v>
      </c>
      <c r="T30" s="1012"/>
      <c r="U30" s="1012"/>
      <c r="V30" s="1013"/>
    </row>
    <row r="31" spans="2:22" ht="17.45" customHeight="1">
      <c r="B31" s="1031"/>
      <c r="C31" s="1032"/>
      <c r="D31" s="1032"/>
      <c r="E31" s="1032"/>
      <c r="F31" s="1032"/>
      <c r="G31" s="1032"/>
      <c r="H31" s="1032"/>
      <c r="I31" s="1033" t="s">
        <v>351</v>
      </c>
      <c r="J31" s="1033"/>
      <c r="K31" s="1033"/>
      <c r="L31" s="1033"/>
      <c r="M31" s="1033"/>
      <c r="N31" s="1033"/>
      <c r="O31" s="1033"/>
      <c r="P31" s="1033"/>
      <c r="Q31" s="1033"/>
      <c r="R31" s="1033"/>
      <c r="S31" s="1012">
        <f>S29+S30</f>
        <v>782.65</v>
      </c>
      <c r="T31" s="1012"/>
      <c r="U31" s="1012"/>
      <c r="V31" s="1013"/>
    </row>
    <row r="32" spans="2:22" ht="17.45" customHeight="1">
      <c r="B32" s="528"/>
      <c r="C32" s="529"/>
      <c r="D32" s="530"/>
      <c r="E32" s="530"/>
      <c r="F32" s="530"/>
      <c r="G32" s="530"/>
      <c r="H32" s="530"/>
      <c r="I32" s="530"/>
      <c r="J32" s="530"/>
      <c r="K32" s="529"/>
      <c r="L32" s="529"/>
      <c r="M32" s="529"/>
      <c r="N32" s="529"/>
      <c r="O32" s="544"/>
      <c r="P32" s="544"/>
      <c r="Q32" s="544"/>
      <c r="R32" s="544"/>
      <c r="S32" s="529"/>
      <c r="T32" s="529"/>
      <c r="U32" s="529"/>
      <c r="V32" s="531"/>
    </row>
    <row r="33" spans="2:26" ht="17.45" customHeight="1">
      <c r="B33" s="214"/>
      <c r="V33" s="217"/>
    </row>
    <row r="34" spans="2:26" ht="409.6" customHeight="1">
      <c r="B34" s="214"/>
      <c r="V34" s="217"/>
    </row>
    <row r="35" spans="2:26" ht="98.25" customHeight="1">
      <c r="B35" s="214"/>
      <c r="V35" s="217"/>
    </row>
    <row r="36" spans="2:26" ht="17.45" customHeight="1">
      <c r="B36" s="214"/>
      <c r="C36" s="525"/>
      <c r="D36" s="526"/>
      <c r="E36" s="526"/>
      <c r="F36" s="526"/>
      <c r="G36" s="526"/>
      <c r="H36" s="526"/>
      <c r="I36" s="526"/>
      <c r="J36" s="526"/>
      <c r="K36" s="525"/>
      <c r="L36" s="525"/>
      <c r="M36" s="525"/>
      <c r="N36" s="525"/>
      <c r="O36" s="543"/>
      <c r="P36" s="543"/>
      <c r="Q36" s="543"/>
      <c r="R36" s="543"/>
      <c r="S36" s="525"/>
      <c r="T36" s="525"/>
      <c r="U36" s="525"/>
      <c r="V36" s="217"/>
    </row>
    <row r="37" spans="2:26" ht="17.45" customHeight="1">
      <c r="B37" s="514"/>
      <c r="C37" s="1063" t="s">
        <v>320</v>
      </c>
      <c r="D37" s="1063"/>
      <c r="E37" s="1063"/>
      <c r="F37" s="515"/>
      <c r="G37" s="1042" t="str">
        <f>G2</f>
        <v>Data Base: Dez./2022 (SINAPI) e Jul./2022 (SICRO) sem desoneração</v>
      </c>
      <c r="H37" s="1042"/>
      <c r="I37" s="1042"/>
      <c r="J37" s="1042"/>
      <c r="K37" s="1042"/>
      <c r="L37" s="1042"/>
      <c r="M37" s="516"/>
      <c r="N37" s="1043" t="s">
        <v>644</v>
      </c>
      <c r="O37" s="1043"/>
      <c r="P37" s="1043"/>
      <c r="Q37" s="1043"/>
      <c r="R37" s="1043"/>
      <c r="S37" s="1043"/>
      <c r="T37" s="1043"/>
      <c r="U37" s="1043"/>
      <c r="V37" s="517"/>
    </row>
    <row r="38" spans="2:26" ht="17.45" customHeight="1">
      <c r="B38" s="518"/>
      <c r="C38" s="1064" t="s">
        <v>321</v>
      </c>
      <c r="D38" s="1064"/>
      <c r="E38" s="1065" t="s">
        <v>154</v>
      </c>
      <c r="F38" s="1065"/>
      <c r="G38" s="1065"/>
      <c r="H38" s="1065"/>
      <c r="I38" s="1065"/>
      <c r="J38" s="1065"/>
      <c r="K38" s="1066" t="s">
        <v>322</v>
      </c>
      <c r="L38" s="1066"/>
      <c r="M38" s="211"/>
      <c r="N38" s="1067" t="s">
        <v>355</v>
      </c>
      <c r="O38" s="1067"/>
      <c r="P38" s="1067"/>
      <c r="Q38" s="541"/>
      <c r="R38" s="541"/>
      <c r="S38" s="211"/>
      <c r="T38" s="211"/>
      <c r="U38" s="211"/>
      <c r="V38" s="519"/>
    </row>
    <row r="39" spans="2:26" ht="17.45" customHeight="1">
      <c r="B39" s="520"/>
      <c r="C39" s="1064"/>
      <c r="D39" s="1064"/>
      <c r="E39" s="1065"/>
      <c r="F39" s="1065"/>
      <c r="G39" s="1065"/>
      <c r="H39" s="1065"/>
      <c r="I39" s="1065"/>
      <c r="J39" s="1065"/>
      <c r="K39" s="1068" t="s">
        <v>324</v>
      </c>
      <c r="L39" s="1068"/>
      <c r="M39" s="212"/>
      <c r="N39" s="1069">
        <v>1</v>
      </c>
      <c r="O39" s="1069"/>
      <c r="P39" s="1069"/>
      <c r="Q39" s="542"/>
      <c r="R39" s="1068" t="s">
        <v>325</v>
      </c>
      <c r="S39" s="1068"/>
      <c r="T39" s="212"/>
      <c r="U39" s="213" t="s">
        <v>356</v>
      </c>
      <c r="V39" s="521"/>
    </row>
    <row r="40" spans="2:26" ht="17.45" customHeight="1">
      <c r="B40" s="1126" t="s">
        <v>327</v>
      </c>
      <c r="C40" s="1127"/>
      <c r="D40" s="1128" t="s">
        <v>234</v>
      </c>
      <c r="E40" s="1128"/>
      <c r="F40" s="1128"/>
      <c r="G40" s="1128"/>
      <c r="H40" s="1128"/>
      <c r="I40" s="1128"/>
      <c r="J40" s="1127" t="s">
        <v>241</v>
      </c>
      <c r="K40" s="1127"/>
      <c r="L40" s="1127" t="s">
        <v>245</v>
      </c>
      <c r="M40" s="1127"/>
      <c r="N40" s="1127"/>
      <c r="O40" s="1129" t="s">
        <v>328</v>
      </c>
      <c r="P40" s="1129"/>
      <c r="Q40" s="1129"/>
      <c r="R40" s="1129"/>
      <c r="S40" s="1128" t="s">
        <v>329</v>
      </c>
      <c r="T40" s="1128"/>
      <c r="U40" s="1128"/>
      <c r="V40" s="1130"/>
    </row>
    <row r="41" spans="2:26" ht="17.45" customHeight="1">
      <c r="B41" s="518"/>
      <c r="C41" s="266">
        <v>93564</v>
      </c>
      <c r="D41" s="1118" t="s">
        <v>357</v>
      </c>
      <c r="E41" s="1118"/>
      <c r="F41" s="1118"/>
      <c r="G41" s="1118"/>
      <c r="H41" s="1118"/>
      <c r="I41" s="1118"/>
      <c r="J41" s="1119" t="s">
        <v>242</v>
      </c>
      <c r="K41" s="1119"/>
      <c r="L41" s="1120">
        <v>1</v>
      </c>
      <c r="M41" s="1120"/>
      <c r="N41" s="1120"/>
      <c r="O41" s="1121">
        <v>3851.43</v>
      </c>
      <c r="P41" s="1122"/>
      <c r="Q41" s="1122"/>
      <c r="R41" s="1123"/>
      <c r="S41" s="1124">
        <f>L41*O41</f>
        <v>3851.43</v>
      </c>
      <c r="T41" s="1124"/>
      <c r="U41" s="1124"/>
      <c r="V41" s="1125"/>
      <c r="W41" s="196"/>
    </row>
    <row r="42" spans="2:26" ht="17.45" customHeight="1">
      <c r="B42" s="532"/>
      <c r="C42" s="267">
        <v>93565</v>
      </c>
      <c r="D42" s="1109" t="s">
        <v>358</v>
      </c>
      <c r="E42" s="1109"/>
      <c r="F42" s="1109"/>
      <c r="G42" s="1109"/>
      <c r="H42" s="1109"/>
      <c r="I42" s="1109"/>
      <c r="J42" s="1110" t="s">
        <v>242</v>
      </c>
      <c r="K42" s="1110"/>
      <c r="L42" s="1111">
        <v>1</v>
      </c>
      <c r="M42" s="1111"/>
      <c r="N42" s="1111"/>
      <c r="O42" s="1112">
        <v>17716.14</v>
      </c>
      <c r="P42" s="1113"/>
      <c r="Q42" s="1113"/>
      <c r="R42" s="1114"/>
      <c r="S42" s="1115">
        <f t="shared" ref="S42:S47" si="1">L42*O42</f>
        <v>17716.14</v>
      </c>
      <c r="T42" s="1116"/>
      <c r="U42" s="1116"/>
      <c r="V42" s="1117"/>
      <c r="W42" s="196"/>
    </row>
    <row r="43" spans="2:26" ht="17.45" customHeight="1">
      <c r="B43" s="532"/>
      <c r="C43" s="267" t="s">
        <v>359</v>
      </c>
      <c r="D43" s="1109" t="s">
        <v>360</v>
      </c>
      <c r="E43" s="1109"/>
      <c r="F43" s="1109"/>
      <c r="G43" s="1109"/>
      <c r="H43" s="1109"/>
      <c r="I43" s="1109"/>
      <c r="J43" s="1110" t="s">
        <v>242</v>
      </c>
      <c r="K43" s="1110"/>
      <c r="L43" s="1111">
        <v>1</v>
      </c>
      <c r="M43" s="1111"/>
      <c r="N43" s="1111"/>
      <c r="O43" s="1112">
        <v>4969.1000000000004</v>
      </c>
      <c r="P43" s="1113"/>
      <c r="Q43" s="1113"/>
      <c r="R43" s="1114"/>
      <c r="S43" s="1115">
        <f t="shared" si="1"/>
        <v>4969.1000000000004</v>
      </c>
      <c r="T43" s="1116"/>
      <c r="U43" s="1116"/>
      <c r="V43" s="1117"/>
      <c r="W43" s="196"/>
    </row>
    <row r="44" spans="2:26" ht="17.45" customHeight="1">
      <c r="B44" s="532"/>
      <c r="C44" s="267">
        <v>94296</v>
      </c>
      <c r="D44" s="1109" t="s">
        <v>361</v>
      </c>
      <c r="E44" s="1109"/>
      <c r="F44" s="1109"/>
      <c r="G44" s="1109"/>
      <c r="H44" s="1109"/>
      <c r="I44" s="1109"/>
      <c r="J44" s="1110" t="s">
        <v>242</v>
      </c>
      <c r="K44" s="1110"/>
      <c r="L44" s="1111">
        <v>1</v>
      </c>
      <c r="M44" s="1111"/>
      <c r="N44" s="1111"/>
      <c r="O44" s="1112">
        <v>3698.46</v>
      </c>
      <c r="P44" s="1113"/>
      <c r="Q44" s="1113"/>
      <c r="R44" s="1114"/>
      <c r="S44" s="1115">
        <f t="shared" si="1"/>
        <v>3698.46</v>
      </c>
      <c r="T44" s="1116"/>
      <c r="U44" s="1116"/>
      <c r="V44" s="1117"/>
      <c r="W44" s="196"/>
    </row>
    <row r="45" spans="2:26" ht="17.45" customHeight="1">
      <c r="B45" s="532"/>
      <c r="C45" s="267">
        <v>101385</v>
      </c>
      <c r="D45" s="1109" t="s">
        <v>362</v>
      </c>
      <c r="E45" s="1109"/>
      <c r="F45" s="1109"/>
      <c r="G45" s="1109"/>
      <c r="H45" s="1109"/>
      <c r="I45" s="1109"/>
      <c r="J45" s="1110" t="s">
        <v>242</v>
      </c>
      <c r="K45" s="1110"/>
      <c r="L45" s="1111">
        <v>1</v>
      </c>
      <c r="M45" s="1111"/>
      <c r="N45" s="1111"/>
      <c r="O45" s="1112">
        <v>4540.17</v>
      </c>
      <c r="P45" s="1113"/>
      <c r="Q45" s="1113"/>
      <c r="R45" s="1114"/>
      <c r="S45" s="1115">
        <f t="shared" si="1"/>
        <v>4540.17</v>
      </c>
      <c r="T45" s="1116"/>
      <c r="U45" s="1116"/>
      <c r="V45" s="1117"/>
      <c r="W45" s="196"/>
      <c r="Z45" s="218"/>
    </row>
    <row r="46" spans="2:26" ht="17.45" customHeight="1">
      <c r="B46" s="532"/>
      <c r="C46" s="267" t="s">
        <v>363</v>
      </c>
      <c r="D46" s="1109" t="s">
        <v>364</v>
      </c>
      <c r="E46" s="1109"/>
      <c r="F46" s="1109"/>
      <c r="G46" s="1109"/>
      <c r="H46" s="1109"/>
      <c r="I46" s="1109"/>
      <c r="J46" s="1110" t="s">
        <v>242</v>
      </c>
      <c r="K46" s="1110"/>
      <c r="L46" s="1111">
        <v>1</v>
      </c>
      <c r="M46" s="1111"/>
      <c r="N46" s="1111"/>
      <c r="O46" s="1112">
        <v>1867.48</v>
      </c>
      <c r="P46" s="1113"/>
      <c r="Q46" s="1113"/>
      <c r="R46" s="1114"/>
      <c r="S46" s="1115">
        <f t="shared" si="1"/>
        <v>1867.48</v>
      </c>
      <c r="T46" s="1116"/>
      <c r="U46" s="1116"/>
      <c r="V46" s="1117"/>
      <c r="W46" s="196"/>
      <c r="Z46" s="219"/>
    </row>
    <row r="47" spans="2:26" ht="17.45" customHeight="1">
      <c r="B47" s="520"/>
      <c r="C47" s="268" t="s">
        <v>365</v>
      </c>
      <c r="D47" s="1095" t="s">
        <v>366</v>
      </c>
      <c r="E47" s="1095"/>
      <c r="F47" s="1095"/>
      <c r="G47" s="1095"/>
      <c r="H47" s="1095"/>
      <c r="I47" s="1095"/>
      <c r="J47" s="1096" t="s">
        <v>242</v>
      </c>
      <c r="K47" s="1096"/>
      <c r="L47" s="1097">
        <v>1</v>
      </c>
      <c r="M47" s="1097"/>
      <c r="N47" s="1097"/>
      <c r="O47" s="1098">
        <v>4956.3100000000004</v>
      </c>
      <c r="P47" s="1099"/>
      <c r="Q47" s="1099"/>
      <c r="R47" s="1100"/>
      <c r="S47" s="1101">
        <f t="shared" si="1"/>
        <v>4956.3100000000004</v>
      </c>
      <c r="T47" s="1102"/>
      <c r="U47" s="1102"/>
      <c r="V47" s="1103"/>
      <c r="W47" s="196"/>
    </row>
    <row r="48" spans="2:26" ht="17.45" customHeight="1">
      <c r="B48" s="1104"/>
      <c r="C48" s="1105"/>
      <c r="D48" s="1105"/>
      <c r="E48" s="1105"/>
      <c r="F48" s="1105"/>
      <c r="G48" s="1105"/>
      <c r="H48" s="1105"/>
      <c r="I48" s="1106" t="s">
        <v>347</v>
      </c>
      <c r="J48" s="1106"/>
      <c r="K48" s="1106"/>
      <c r="L48" s="1106"/>
      <c r="M48" s="1106"/>
      <c r="N48" s="1106"/>
      <c r="O48" s="1106"/>
      <c r="P48" s="1106"/>
      <c r="Q48" s="1106"/>
      <c r="R48" s="1106"/>
      <c r="S48" s="1107">
        <f>SUM(S41:V47)</f>
        <v>41599.089999999997</v>
      </c>
      <c r="T48" s="1107"/>
      <c r="U48" s="1107"/>
      <c r="V48" s="1108"/>
      <c r="W48" s="220"/>
    </row>
    <row r="49" spans="2:23" ht="17.45" customHeight="1">
      <c r="B49" s="1087"/>
      <c r="C49" s="1088"/>
      <c r="D49" s="1088"/>
      <c r="E49" s="1088"/>
      <c r="F49" s="1088"/>
      <c r="G49" s="1088"/>
      <c r="H49" s="1088"/>
      <c r="I49" s="1088"/>
      <c r="J49" s="1088"/>
      <c r="K49" s="1088"/>
      <c r="L49" s="1088"/>
      <c r="M49" s="1088"/>
      <c r="N49" s="1088"/>
      <c r="O49" s="1088"/>
      <c r="P49" s="1088"/>
      <c r="Q49" s="1088"/>
      <c r="R49" s="1088"/>
      <c r="S49" s="1088"/>
      <c r="T49" s="1088"/>
      <c r="U49" s="1088"/>
      <c r="V49" s="1089"/>
    </row>
    <row r="50" spans="2:23" ht="17.45" customHeight="1">
      <c r="B50" s="1090"/>
      <c r="C50" s="1091"/>
      <c r="D50" s="1091"/>
      <c r="E50" s="1091"/>
      <c r="F50" s="1091"/>
      <c r="G50" s="1091"/>
      <c r="H50" s="1091"/>
      <c r="I50" s="1092" t="s">
        <v>348</v>
      </c>
      <c r="J50" s="1092"/>
      <c r="K50" s="1092"/>
      <c r="L50" s="1092"/>
      <c r="M50" s="1092"/>
      <c r="N50" s="1092"/>
      <c r="O50" s="1092"/>
      <c r="P50" s="1092"/>
      <c r="Q50" s="1092"/>
      <c r="R50" s="1092"/>
      <c r="S50" s="1012">
        <f>S48</f>
        <v>41599.089999999997</v>
      </c>
      <c r="T50" s="1012"/>
      <c r="U50" s="1012"/>
      <c r="V50" s="1013"/>
      <c r="W50" s="220"/>
    </row>
    <row r="51" spans="2:23" ht="17.45" customHeight="1">
      <c r="B51" s="1090"/>
      <c r="C51" s="1091"/>
      <c r="D51" s="1091"/>
      <c r="E51" s="1091"/>
      <c r="F51" s="1091"/>
      <c r="G51" s="1091"/>
      <c r="H51" s="1092" t="s">
        <v>349</v>
      </c>
      <c r="I51" s="1092"/>
      <c r="J51" s="1092"/>
      <c r="K51" s="1092"/>
      <c r="L51" s="1092"/>
      <c r="M51" s="1093">
        <v>20.7</v>
      </c>
      <c r="N51" s="1093"/>
      <c r="O51" s="1093"/>
      <c r="P51" s="1094" t="s">
        <v>350</v>
      </c>
      <c r="Q51" s="1094"/>
      <c r="R51" s="1094"/>
      <c r="S51" s="1012">
        <f>TRUNC(S50*M51%,2)</f>
        <v>8611.01</v>
      </c>
      <c r="T51" s="1012"/>
      <c r="U51" s="1012"/>
      <c r="V51" s="1013"/>
      <c r="W51" s="221"/>
    </row>
    <row r="52" spans="2:23" ht="17.45" customHeight="1">
      <c r="B52" s="1084"/>
      <c r="C52" s="1085"/>
      <c r="D52" s="1085"/>
      <c r="E52" s="1085"/>
      <c r="F52" s="1085"/>
      <c r="G52" s="1085"/>
      <c r="H52" s="1085"/>
      <c r="I52" s="1086" t="s">
        <v>351</v>
      </c>
      <c r="J52" s="1086"/>
      <c r="K52" s="1086"/>
      <c r="L52" s="1086"/>
      <c r="M52" s="1086"/>
      <c r="N52" s="1086"/>
      <c r="O52" s="1086"/>
      <c r="P52" s="1086"/>
      <c r="Q52" s="1086"/>
      <c r="R52" s="1086"/>
      <c r="S52" s="1017">
        <f>S50+S51</f>
        <v>50210.1</v>
      </c>
      <c r="T52" s="1017"/>
      <c r="U52" s="1017"/>
      <c r="V52" s="1018"/>
      <c r="W52" s="220"/>
    </row>
    <row r="53" spans="2:23" ht="144.94999999999999" customHeight="1">
      <c r="B53" s="214"/>
      <c r="V53" s="217"/>
    </row>
    <row r="54" spans="2:23" ht="144.94999999999999" customHeight="1">
      <c r="B54" s="214"/>
      <c r="V54" s="217"/>
    </row>
    <row r="55" spans="2:23" ht="144.94999999999999" customHeight="1">
      <c r="B55" s="214"/>
      <c r="V55" s="217"/>
    </row>
    <row r="56" spans="2:23" ht="17.45" customHeight="1">
      <c r="B56" s="214"/>
      <c r="C56" s="525"/>
      <c r="D56" s="526"/>
      <c r="E56" s="526"/>
      <c r="F56" s="526"/>
      <c r="G56" s="526"/>
      <c r="H56" s="526"/>
      <c r="I56" s="526"/>
      <c r="J56" s="526"/>
      <c r="K56" s="525"/>
      <c r="L56" s="525"/>
      <c r="M56" s="525"/>
      <c r="N56" s="525"/>
      <c r="O56" s="543"/>
      <c r="P56" s="543"/>
      <c r="Q56" s="543"/>
      <c r="R56" s="543"/>
      <c r="S56" s="525"/>
      <c r="T56" s="525"/>
      <c r="U56" s="525"/>
      <c r="V56" s="217"/>
    </row>
    <row r="57" spans="2:23" ht="17.45" customHeight="1">
      <c r="B57" s="514"/>
      <c r="C57" s="1063" t="s">
        <v>320</v>
      </c>
      <c r="D57" s="1063"/>
      <c r="E57" s="1063"/>
      <c r="F57" s="515"/>
      <c r="G57" s="1042" t="str">
        <f>G37</f>
        <v>Data Base: Dez./2022 (SINAPI) e Jul./2022 (SICRO) sem desoneração</v>
      </c>
      <c r="H57" s="1042"/>
      <c r="I57" s="1042"/>
      <c r="J57" s="1042"/>
      <c r="K57" s="1042"/>
      <c r="L57" s="1042"/>
      <c r="M57" s="516"/>
      <c r="N57" s="1043" t="s">
        <v>644</v>
      </c>
      <c r="O57" s="1043"/>
      <c r="P57" s="1043"/>
      <c r="Q57" s="1043"/>
      <c r="R57" s="1043"/>
      <c r="S57" s="1043"/>
      <c r="T57" s="1043"/>
      <c r="U57" s="1043"/>
      <c r="V57" s="517"/>
    </row>
    <row r="58" spans="2:23" ht="17.45" customHeight="1">
      <c r="B58" s="518"/>
      <c r="C58" s="1064" t="s">
        <v>321</v>
      </c>
      <c r="D58" s="1064"/>
      <c r="E58" s="1065" t="s">
        <v>367</v>
      </c>
      <c r="F58" s="1065"/>
      <c r="G58" s="1065"/>
      <c r="H58" s="1065"/>
      <c r="I58" s="1065"/>
      <c r="J58" s="1065"/>
      <c r="K58" s="1066" t="s">
        <v>322</v>
      </c>
      <c r="L58" s="1066"/>
      <c r="M58" s="211"/>
      <c r="N58" s="1067" t="s">
        <v>368</v>
      </c>
      <c r="O58" s="1067"/>
      <c r="P58" s="1067"/>
      <c r="Q58" s="541"/>
      <c r="R58" s="541"/>
      <c r="S58" s="211"/>
      <c r="T58" s="211"/>
      <c r="U58" s="211"/>
      <c r="V58" s="519"/>
    </row>
    <row r="59" spans="2:23" ht="17.45" customHeight="1">
      <c r="B59" s="520"/>
      <c r="C59" s="1064"/>
      <c r="D59" s="1064"/>
      <c r="E59" s="1065"/>
      <c r="F59" s="1065"/>
      <c r="G59" s="1065"/>
      <c r="H59" s="1065"/>
      <c r="I59" s="1065"/>
      <c r="J59" s="1065"/>
      <c r="K59" s="1068" t="s">
        <v>324</v>
      </c>
      <c r="L59" s="1068"/>
      <c r="M59" s="212"/>
      <c r="N59" s="1069">
        <v>1</v>
      </c>
      <c r="O59" s="1069"/>
      <c r="P59" s="1069"/>
      <c r="Q59" s="542"/>
      <c r="R59" s="1068" t="s">
        <v>325</v>
      </c>
      <c r="S59" s="1068"/>
      <c r="T59" s="212"/>
      <c r="U59" s="213" t="s">
        <v>326</v>
      </c>
      <c r="V59" s="521"/>
    </row>
    <row r="60" spans="2:23" ht="17.45" customHeight="1">
      <c r="B60" s="1050" t="s">
        <v>327</v>
      </c>
      <c r="C60" s="1051"/>
      <c r="D60" s="1052" t="s">
        <v>234</v>
      </c>
      <c r="E60" s="1052"/>
      <c r="F60" s="1052"/>
      <c r="G60" s="1052"/>
      <c r="H60" s="1052"/>
      <c r="I60" s="1052"/>
      <c r="J60" s="1051" t="s">
        <v>241</v>
      </c>
      <c r="K60" s="1051"/>
      <c r="L60" s="1051" t="s">
        <v>245</v>
      </c>
      <c r="M60" s="1051"/>
      <c r="N60" s="1051"/>
      <c r="O60" s="1053" t="s">
        <v>328</v>
      </c>
      <c r="P60" s="1053"/>
      <c r="Q60" s="1053"/>
      <c r="R60" s="1053"/>
      <c r="S60" s="1052" t="s">
        <v>329</v>
      </c>
      <c r="T60" s="1052"/>
      <c r="U60" s="1052"/>
      <c r="V60" s="1054"/>
    </row>
    <row r="61" spans="2:23" ht="17.45" customHeight="1">
      <c r="B61" s="522"/>
      <c r="C61" s="264" t="s">
        <v>369</v>
      </c>
      <c r="D61" s="1055" t="s">
        <v>370</v>
      </c>
      <c r="E61" s="1055"/>
      <c r="F61" s="1055"/>
      <c r="G61" s="1055"/>
      <c r="H61" s="1055"/>
      <c r="I61" s="1055"/>
      <c r="J61" s="1060" t="s">
        <v>356</v>
      </c>
      <c r="K61" s="1060"/>
      <c r="L61" s="1056">
        <v>1.2999999999999999E-3</v>
      </c>
      <c r="M61" s="1056"/>
      <c r="N61" s="1056"/>
      <c r="O61" s="1010">
        <f>REAJUSTAMENTO!J13</f>
        <v>191.76</v>
      </c>
      <c r="P61" s="1010"/>
      <c r="Q61" s="1010"/>
      <c r="R61" s="1010"/>
      <c r="S61" s="1061">
        <f>L61*O61</f>
        <v>0.24928799999999998</v>
      </c>
      <c r="T61" s="1061"/>
      <c r="U61" s="1061"/>
      <c r="V61" s="1062"/>
    </row>
    <row r="62" spans="2:23" ht="17.45" customHeight="1">
      <c r="B62" s="523"/>
      <c r="C62" s="263" t="s">
        <v>371</v>
      </c>
      <c r="D62" s="1037" t="s">
        <v>372</v>
      </c>
      <c r="E62" s="1037"/>
      <c r="F62" s="1037"/>
      <c r="G62" s="1037"/>
      <c r="H62" s="1037"/>
      <c r="I62" s="1037"/>
      <c r="J62" s="1038" t="s">
        <v>356</v>
      </c>
      <c r="K62" s="1038"/>
      <c r="L62" s="1039">
        <v>1.2999999999999999E-3</v>
      </c>
      <c r="M62" s="1039"/>
      <c r="N62" s="1039"/>
      <c r="O62" s="1040">
        <f>REAJUSTAMENTO!J15</f>
        <v>119.86</v>
      </c>
      <c r="P62" s="1040"/>
      <c r="Q62" s="1040"/>
      <c r="R62" s="1040"/>
      <c r="S62" s="1011">
        <f t="shared" ref="S62:S67" si="2">L62*O62</f>
        <v>0.15581799999999998</v>
      </c>
      <c r="T62" s="1012"/>
      <c r="U62" s="1012"/>
      <c r="V62" s="1013"/>
    </row>
    <row r="63" spans="2:23" ht="17.45" customHeight="1">
      <c r="B63" s="523"/>
      <c r="C63" s="263" t="s">
        <v>373</v>
      </c>
      <c r="D63" s="1037" t="s">
        <v>374</v>
      </c>
      <c r="E63" s="1037"/>
      <c r="F63" s="1037"/>
      <c r="G63" s="1037"/>
      <c r="H63" s="1037"/>
      <c r="I63" s="1037"/>
      <c r="J63" s="1038" t="s">
        <v>356</v>
      </c>
      <c r="K63" s="1038"/>
      <c r="L63" s="1039">
        <v>1.2999999999999999E-3</v>
      </c>
      <c r="M63" s="1039"/>
      <c r="N63" s="1039"/>
      <c r="O63" s="1040">
        <f>REAJUSTAMENTO!J17</f>
        <v>107.85</v>
      </c>
      <c r="P63" s="1040"/>
      <c r="Q63" s="1040"/>
      <c r="R63" s="1040"/>
      <c r="S63" s="1011">
        <f t="shared" si="2"/>
        <v>0.140205</v>
      </c>
      <c r="T63" s="1012"/>
      <c r="U63" s="1012"/>
      <c r="V63" s="1013"/>
    </row>
    <row r="64" spans="2:23" ht="17.45" customHeight="1">
      <c r="B64" s="523"/>
      <c r="C64" s="263" t="s">
        <v>375</v>
      </c>
      <c r="D64" s="1037" t="s">
        <v>376</v>
      </c>
      <c r="E64" s="1037"/>
      <c r="F64" s="1037"/>
      <c r="G64" s="1037"/>
      <c r="H64" s="1037"/>
      <c r="I64" s="1037"/>
      <c r="J64" s="1038" t="s">
        <v>356</v>
      </c>
      <c r="K64" s="1038"/>
      <c r="L64" s="1039">
        <v>1.2999999999999999E-3</v>
      </c>
      <c r="M64" s="1039"/>
      <c r="N64" s="1039"/>
      <c r="O64" s="1040">
        <f>REAJUSTAMENTO!J19</f>
        <v>227.72</v>
      </c>
      <c r="P64" s="1040"/>
      <c r="Q64" s="1040"/>
      <c r="R64" s="1040"/>
      <c r="S64" s="1011">
        <f t="shared" si="2"/>
        <v>0.29603599999999997</v>
      </c>
      <c r="T64" s="1012"/>
      <c r="U64" s="1012"/>
      <c r="V64" s="1013"/>
    </row>
    <row r="65" spans="2:22" ht="17.45" customHeight="1">
      <c r="B65" s="523"/>
      <c r="C65" s="263" t="s">
        <v>377</v>
      </c>
      <c r="D65" s="1037" t="s">
        <v>378</v>
      </c>
      <c r="E65" s="1037"/>
      <c r="F65" s="1037"/>
      <c r="G65" s="1037"/>
      <c r="H65" s="1037"/>
      <c r="I65" s="1037"/>
      <c r="J65" s="1038" t="s">
        <v>356</v>
      </c>
      <c r="K65" s="1038"/>
      <c r="L65" s="1039">
        <v>8.0000000000000004E-4</v>
      </c>
      <c r="M65" s="1039"/>
      <c r="N65" s="1039"/>
      <c r="O65" s="1040">
        <f>REAJUSTAMENTO!J21</f>
        <v>95.86</v>
      </c>
      <c r="P65" s="1040"/>
      <c r="Q65" s="1040"/>
      <c r="R65" s="1040"/>
      <c r="S65" s="1011">
        <f t="shared" si="2"/>
        <v>7.6688000000000006E-2</v>
      </c>
      <c r="T65" s="1012"/>
      <c r="U65" s="1012"/>
      <c r="V65" s="1013"/>
    </row>
    <row r="66" spans="2:22" ht="17.45" customHeight="1">
      <c r="B66" s="523"/>
      <c r="C66" s="263" t="s">
        <v>379</v>
      </c>
      <c r="D66" s="1037" t="s">
        <v>380</v>
      </c>
      <c r="E66" s="1037"/>
      <c r="F66" s="1037"/>
      <c r="G66" s="1037"/>
      <c r="H66" s="1037"/>
      <c r="I66" s="1037"/>
      <c r="J66" s="1038" t="s">
        <v>356</v>
      </c>
      <c r="K66" s="1038"/>
      <c r="L66" s="1039">
        <v>1.2999999999999999E-3</v>
      </c>
      <c r="M66" s="1039"/>
      <c r="N66" s="1039"/>
      <c r="O66" s="1040">
        <f>REAJUSTAMENTO!J23</f>
        <v>275.66000000000003</v>
      </c>
      <c r="P66" s="1040"/>
      <c r="Q66" s="1040"/>
      <c r="R66" s="1040"/>
      <c r="S66" s="1011">
        <f t="shared" si="2"/>
        <v>0.35835800000000001</v>
      </c>
      <c r="T66" s="1012"/>
      <c r="U66" s="1012"/>
      <c r="V66" s="1013"/>
    </row>
    <row r="67" spans="2:22" ht="17.45" customHeight="1">
      <c r="B67" s="524"/>
      <c r="C67" s="262" t="s">
        <v>381</v>
      </c>
      <c r="D67" s="1019" t="s">
        <v>382</v>
      </c>
      <c r="E67" s="1019"/>
      <c r="F67" s="1019"/>
      <c r="G67" s="1019"/>
      <c r="H67" s="1019"/>
      <c r="I67" s="1019"/>
      <c r="J67" s="1020" t="s">
        <v>356</v>
      </c>
      <c r="K67" s="1020"/>
      <c r="L67" s="1021">
        <v>1E-3</v>
      </c>
      <c r="M67" s="1021"/>
      <c r="N67" s="1021"/>
      <c r="O67" s="1022">
        <f>REAJUSTAMENTO!J25</f>
        <v>71.900000000000006</v>
      </c>
      <c r="P67" s="1022"/>
      <c r="Q67" s="1022"/>
      <c r="R67" s="1022"/>
      <c r="S67" s="1057">
        <f t="shared" si="2"/>
        <v>7.1900000000000006E-2</v>
      </c>
      <c r="T67" s="1058"/>
      <c r="U67" s="1058"/>
      <c r="V67" s="1059"/>
    </row>
    <row r="68" spans="2:22" ht="17.45" customHeight="1">
      <c r="B68" s="1023"/>
      <c r="C68" s="1024"/>
      <c r="D68" s="1024"/>
      <c r="E68" s="1024"/>
      <c r="F68" s="1024"/>
      <c r="G68" s="1024"/>
      <c r="H68" s="1024"/>
      <c r="I68" s="1025" t="s">
        <v>347</v>
      </c>
      <c r="J68" s="1025"/>
      <c r="K68" s="1025"/>
      <c r="L68" s="1025"/>
      <c r="M68" s="1025"/>
      <c r="N68" s="1025"/>
      <c r="O68" s="1025"/>
      <c r="P68" s="1025"/>
      <c r="Q68" s="1025"/>
      <c r="R68" s="1025"/>
      <c r="S68" s="1026">
        <f>SUM(S61:V67)</f>
        <v>1.348293</v>
      </c>
      <c r="T68" s="1026"/>
      <c r="U68" s="1026"/>
      <c r="V68" s="1027"/>
    </row>
    <row r="69" spans="2:22" ht="17.45" customHeight="1">
      <c r="B69" s="1028"/>
      <c r="C69" s="1029"/>
      <c r="D69" s="1029"/>
      <c r="E69" s="1029"/>
      <c r="F69" s="1029"/>
      <c r="G69" s="1029"/>
      <c r="H69" s="1029"/>
      <c r="I69" s="1029"/>
      <c r="J69" s="1029"/>
      <c r="K69" s="1029"/>
      <c r="L69" s="1029"/>
      <c r="M69" s="1029"/>
      <c r="N69" s="1029"/>
      <c r="O69" s="1029"/>
      <c r="P69" s="1029"/>
      <c r="Q69" s="1029"/>
      <c r="R69" s="1029"/>
      <c r="S69" s="1029"/>
      <c r="T69" s="1029"/>
      <c r="U69" s="1029"/>
      <c r="V69" s="1030"/>
    </row>
    <row r="70" spans="2:22" ht="17.45" customHeight="1">
      <c r="B70" s="1031"/>
      <c r="C70" s="1032"/>
      <c r="D70" s="1032"/>
      <c r="E70" s="1032"/>
      <c r="F70" s="1032"/>
      <c r="G70" s="1032"/>
      <c r="H70" s="1032"/>
      <c r="I70" s="1033" t="s">
        <v>348</v>
      </c>
      <c r="J70" s="1033"/>
      <c r="K70" s="1033"/>
      <c r="L70" s="1033"/>
      <c r="M70" s="1033"/>
      <c r="N70" s="1033"/>
      <c r="O70" s="1033"/>
      <c r="P70" s="1033"/>
      <c r="Q70" s="1033"/>
      <c r="R70" s="1033"/>
      <c r="S70" s="1012">
        <f>S68</f>
        <v>1.348293</v>
      </c>
      <c r="T70" s="1012"/>
      <c r="U70" s="1012"/>
      <c r="V70" s="1013"/>
    </row>
    <row r="71" spans="2:22" ht="17.45" customHeight="1">
      <c r="B71" s="1031"/>
      <c r="C71" s="1032"/>
      <c r="D71" s="1032"/>
      <c r="E71" s="1032"/>
      <c r="F71" s="1032"/>
      <c r="G71" s="1032"/>
      <c r="H71" s="1033" t="s">
        <v>349</v>
      </c>
      <c r="I71" s="1033"/>
      <c r="J71" s="1033"/>
      <c r="K71" s="1033"/>
      <c r="L71" s="1033"/>
      <c r="M71" s="1035">
        <v>20.7</v>
      </c>
      <c r="N71" s="1035"/>
      <c r="O71" s="1035"/>
      <c r="P71" s="1036" t="s">
        <v>350</v>
      </c>
      <c r="Q71" s="1036"/>
      <c r="R71" s="1036"/>
      <c r="S71" s="1012">
        <f>TRUNC(S70*M71%,2)</f>
        <v>0.27</v>
      </c>
      <c r="T71" s="1012"/>
      <c r="U71" s="1012"/>
      <c r="V71" s="1013"/>
    </row>
    <row r="72" spans="2:22" ht="17.45" customHeight="1">
      <c r="B72" s="1014"/>
      <c r="C72" s="1015"/>
      <c r="D72" s="1015"/>
      <c r="E72" s="1015"/>
      <c r="F72" s="1015"/>
      <c r="G72" s="1015"/>
      <c r="H72" s="1015"/>
      <c r="I72" s="1016" t="s">
        <v>351</v>
      </c>
      <c r="J72" s="1016"/>
      <c r="K72" s="1016"/>
      <c r="L72" s="1016"/>
      <c r="M72" s="1016"/>
      <c r="N72" s="1016"/>
      <c r="O72" s="1016"/>
      <c r="P72" s="1016"/>
      <c r="Q72" s="1016"/>
      <c r="R72" s="1016"/>
      <c r="S72" s="1017">
        <f>S70+S71</f>
        <v>1.618293</v>
      </c>
      <c r="T72" s="1017"/>
      <c r="U72" s="1017"/>
      <c r="V72" s="1018"/>
    </row>
    <row r="73" spans="2:22" ht="144.94999999999999" customHeight="1">
      <c r="B73" s="214"/>
      <c r="V73" s="217"/>
    </row>
    <row r="74" spans="2:22" ht="144.94999999999999" customHeight="1">
      <c r="B74" s="214"/>
      <c r="V74" s="217"/>
    </row>
    <row r="75" spans="2:22" ht="144.94999999999999" customHeight="1">
      <c r="B75" s="214"/>
      <c r="V75" s="217"/>
    </row>
    <row r="76" spans="2:22" ht="17.45" customHeight="1">
      <c r="B76" s="214"/>
      <c r="C76" s="525"/>
      <c r="D76" s="526"/>
      <c r="E76" s="526"/>
      <c r="F76" s="526"/>
      <c r="G76" s="526"/>
      <c r="H76" s="526"/>
      <c r="I76" s="526"/>
      <c r="J76" s="526"/>
      <c r="K76" s="525"/>
      <c r="L76" s="525"/>
      <c r="M76" s="525"/>
      <c r="N76" s="525"/>
      <c r="O76" s="543"/>
      <c r="P76" s="543"/>
      <c r="Q76" s="543"/>
      <c r="R76" s="543"/>
      <c r="S76" s="525"/>
      <c r="T76" s="525"/>
      <c r="U76" s="525"/>
      <c r="V76" s="217"/>
    </row>
    <row r="77" spans="2:22" ht="17.45" customHeight="1">
      <c r="B77" s="514"/>
      <c r="C77" s="1063" t="s">
        <v>320</v>
      </c>
      <c r="D77" s="1063"/>
      <c r="E77" s="1063"/>
      <c r="F77" s="515"/>
      <c r="G77" s="1042" t="str">
        <f>G57</f>
        <v>Data Base: Dez./2022 (SINAPI) e Jul./2022 (SICRO) sem desoneração</v>
      </c>
      <c r="H77" s="1042"/>
      <c r="I77" s="1042"/>
      <c r="J77" s="1042"/>
      <c r="K77" s="1042"/>
      <c r="L77" s="1042"/>
      <c r="M77" s="516"/>
      <c r="N77" s="1043" t="s">
        <v>644</v>
      </c>
      <c r="O77" s="1043"/>
      <c r="P77" s="1043"/>
      <c r="Q77" s="1043"/>
      <c r="R77" s="1043"/>
      <c r="S77" s="1043"/>
      <c r="T77" s="1043"/>
      <c r="U77" s="1043"/>
      <c r="V77" s="517"/>
    </row>
    <row r="78" spans="2:22" ht="17.45" customHeight="1">
      <c r="B78" s="518"/>
      <c r="C78" s="1064" t="s">
        <v>321</v>
      </c>
      <c r="D78" s="1064"/>
      <c r="E78" s="1065" t="s">
        <v>383</v>
      </c>
      <c r="F78" s="1065"/>
      <c r="G78" s="1065"/>
      <c r="H78" s="1065"/>
      <c r="I78" s="1065"/>
      <c r="J78" s="1065"/>
      <c r="K78" s="1066" t="s">
        <v>322</v>
      </c>
      <c r="L78" s="1066"/>
      <c r="M78" s="211"/>
      <c r="N78" s="1067" t="s">
        <v>384</v>
      </c>
      <c r="O78" s="1067"/>
      <c r="P78" s="1067"/>
      <c r="Q78" s="541"/>
      <c r="R78" s="541"/>
      <c r="S78" s="211"/>
      <c r="T78" s="211"/>
      <c r="U78" s="211"/>
      <c r="V78" s="519"/>
    </row>
    <row r="79" spans="2:22" ht="17.45" customHeight="1">
      <c r="B79" s="520"/>
      <c r="C79" s="1064"/>
      <c r="D79" s="1064"/>
      <c r="E79" s="1065"/>
      <c r="F79" s="1065"/>
      <c r="G79" s="1065"/>
      <c r="H79" s="1065"/>
      <c r="I79" s="1065"/>
      <c r="J79" s="1065"/>
      <c r="K79" s="1068" t="s">
        <v>324</v>
      </c>
      <c r="L79" s="1068"/>
      <c r="M79" s="212"/>
      <c r="N79" s="1069">
        <v>1</v>
      </c>
      <c r="O79" s="1069"/>
      <c r="P79" s="1069"/>
      <c r="Q79" s="542"/>
      <c r="R79" s="1068" t="s">
        <v>325</v>
      </c>
      <c r="S79" s="1068"/>
      <c r="T79" s="212"/>
      <c r="U79" s="213" t="s">
        <v>356</v>
      </c>
      <c r="V79" s="521"/>
    </row>
    <row r="80" spans="2:22" ht="17.45" customHeight="1">
      <c r="B80" s="1050" t="s">
        <v>327</v>
      </c>
      <c r="C80" s="1051"/>
      <c r="D80" s="1052" t="s">
        <v>234</v>
      </c>
      <c r="E80" s="1052"/>
      <c r="F80" s="1052"/>
      <c r="G80" s="1052"/>
      <c r="H80" s="1052"/>
      <c r="I80" s="1052"/>
      <c r="J80" s="1051" t="s">
        <v>241</v>
      </c>
      <c r="K80" s="1051"/>
      <c r="L80" s="1051" t="s">
        <v>245</v>
      </c>
      <c r="M80" s="1051"/>
      <c r="N80" s="1051"/>
      <c r="O80" s="1053" t="s">
        <v>328</v>
      </c>
      <c r="P80" s="1053"/>
      <c r="Q80" s="1053"/>
      <c r="R80" s="1053"/>
      <c r="S80" s="1052" t="s">
        <v>329</v>
      </c>
      <c r="T80" s="1052"/>
      <c r="U80" s="1052"/>
      <c r="V80" s="1054"/>
    </row>
    <row r="81" spans="2:22" ht="17.45" customHeight="1">
      <c r="B81" s="522"/>
      <c r="C81" s="264" t="s">
        <v>369</v>
      </c>
      <c r="D81" s="1055" t="s">
        <v>370</v>
      </c>
      <c r="E81" s="1055"/>
      <c r="F81" s="1055"/>
      <c r="G81" s="1055"/>
      <c r="H81" s="1055"/>
      <c r="I81" s="1055"/>
      <c r="J81" s="1060" t="s">
        <v>356</v>
      </c>
      <c r="K81" s="1060"/>
      <c r="L81" s="1056">
        <v>1.6999999999999999E-3</v>
      </c>
      <c r="M81" s="1056"/>
      <c r="N81" s="1056"/>
      <c r="O81" s="1010">
        <f>REAJUSTAMENTO!J13</f>
        <v>191.76</v>
      </c>
      <c r="P81" s="1010"/>
      <c r="Q81" s="1010"/>
      <c r="R81" s="1010"/>
      <c r="S81" s="1082">
        <f>L81*O81</f>
        <v>0.32599199999999995</v>
      </c>
      <c r="T81" s="1082"/>
      <c r="U81" s="1082"/>
      <c r="V81" s="1083"/>
    </row>
    <row r="82" spans="2:22" ht="17.45" customHeight="1">
      <c r="B82" s="523"/>
      <c r="C82" s="263" t="s">
        <v>371</v>
      </c>
      <c r="D82" s="1037" t="s">
        <v>372</v>
      </c>
      <c r="E82" s="1037"/>
      <c r="F82" s="1037"/>
      <c r="G82" s="1037"/>
      <c r="H82" s="1037"/>
      <c r="I82" s="1037"/>
      <c r="J82" s="1038" t="s">
        <v>356</v>
      </c>
      <c r="K82" s="1038"/>
      <c r="L82" s="1039">
        <v>1.6999999999999999E-3</v>
      </c>
      <c r="M82" s="1039"/>
      <c r="N82" s="1039"/>
      <c r="O82" s="1040">
        <f>REAJUSTAMENTO!J15</f>
        <v>119.86</v>
      </c>
      <c r="P82" s="1040"/>
      <c r="Q82" s="1040"/>
      <c r="R82" s="1040"/>
      <c r="S82" s="1082">
        <f t="shared" ref="S82:S88" si="3">L82*O82</f>
        <v>0.203762</v>
      </c>
      <c r="T82" s="1082"/>
      <c r="U82" s="1082"/>
      <c r="V82" s="1083"/>
    </row>
    <row r="83" spans="2:22" ht="17.45" customHeight="1">
      <c r="B83" s="523"/>
      <c r="C83" s="263" t="s">
        <v>373</v>
      </c>
      <c r="D83" s="1037" t="s">
        <v>374</v>
      </c>
      <c r="E83" s="1037"/>
      <c r="F83" s="1037"/>
      <c r="G83" s="1037"/>
      <c r="H83" s="1037"/>
      <c r="I83" s="1037"/>
      <c r="J83" s="1038" t="s">
        <v>356</v>
      </c>
      <c r="K83" s="1038"/>
      <c r="L83" s="1039">
        <v>1.6999999999999999E-3</v>
      </c>
      <c r="M83" s="1039"/>
      <c r="N83" s="1039"/>
      <c r="O83" s="1040">
        <f>REAJUSTAMENTO!J17</f>
        <v>107.85</v>
      </c>
      <c r="P83" s="1040"/>
      <c r="Q83" s="1040"/>
      <c r="R83" s="1040"/>
      <c r="S83" s="1082">
        <f t="shared" si="3"/>
        <v>0.18334499999999998</v>
      </c>
      <c r="T83" s="1082"/>
      <c r="U83" s="1082"/>
      <c r="V83" s="1083"/>
    </row>
    <row r="84" spans="2:22" ht="17.45" customHeight="1">
      <c r="B84" s="523"/>
      <c r="C84" s="263" t="s">
        <v>375</v>
      </c>
      <c r="D84" s="1037" t="s">
        <v>376</v>
      </c>
      <c r="E84" s="1037"/>
      <c r="F84" s="1037"/>
      <c r="G84" s="1037"/>
      <c r="H84" s="1037"/>
      <c r="I84" s="1037"/>
      <c r="J84" s="1038" t="s">
        <v>356</v>
      </c>
      <c r="K84" s="1038"/>
      <c r="L84" s="1039">
        <v>1.6999999999999999E-3</v>
      </c>
      <c r="M84" s="1039"/>
      <c r="N84" s="1039"/>
      <c r="O84" s="1040">
        <f>REAJUSTAMENTO!J19</f>
        <v>227.72</v>
      </c>
      <c r="P84" s="1040"/>
      <c r="Q84" s="1040"/>
      <c r="R84" s="1040"/>
      <c r="S84" s="1082">
        <f t="shared" si="3"/>
        <v>0.38712399999999997</v>
      </c>
      <c r="T84" s="1082"/>
      <c r="U84" s="1082"/>
      <c r="V84" s="1083"/>
    </row>
    <row r="85" spans="2:22" ht="17.45" customHeight="1">
      <c r="B85" s="523"/>
      <c r="C85" s="263" t="s">
        <v>377</v>
      </c>
      <c r="D85" s="1037" t="s">
        <v>378</v>
      </c>
      <c r="E85" s="1037"/>
      <c r="F85" s="1037"/>
      <c r="G85" s="1037"/>
      <c r="H85" s="1037"/>
      <c r="I85" s="1037"/>
      <c r="J85" s="1038" t="s">
        <v>356</v>
      </c>
      <c r="K85" s="1038"/>
      <c r="L85" s="1039">
        <v>5.0000000000000001E-3</v>
      </c>
      <c r="M85" s="1039"/>
      <c r="N85" s="1039"/>
      <c r="O85" s="1040">
        <f>REAJUSTAMENTO!J21</f>
        <v>95.86</v>
      </c>
      <c r="P85" s="1040"/>
      <c r="Q85" s="1040"/>
      <c r="R85" s="1040"/>
      <c r="S85" s="1082">
        <f t="shared" si="3"/>
        <v>0.4793</v>
      </c>
      <c r="T85" s="1082"/>
      <c r="U85" s="1082"/>
      <c r="V85" s="1083"/>
    </row>
    <row r="86" spans="2:22" ht="17.45" customHeight="1">
      <c r="B86" s="523"/>
      <c r="C86" s="263" t="s">
        <v>379</v>
      </c>
      <c r="D86" s="1037" t="s">
        <v>380</v>
      </c>
      <c r="E86" s="1037"/>
      <c r="F86" s="1037"/>
      <c r="G86" s="1037"/>
      <c r="H86" s="1037"/>
      <c r="I86" s="1037"/>
      <c r="J86" s="1038" t="s">
        <v>356</v>
      </c>
      <c r="K86" s="1038"/>
      <c r="L86" s="1039">
        <v>1.6999999999999999E-3</v>
      </c>
      <c r="M86" s="1039"/>
      <c r="N86" s="1039"/>
      <c r="O86" s="1040">
        <f>REAJUSTAMENTO!J23</f>
        <v>275.66000000000003</v>
      </c>
      <c r="P86" s="1040"/>
      <c r="Q86" s="1040"/>
      <c r="R86" s="1040"/>
      <c r="S86" s="1082">
        <f t="shared" si="3"/>
        <v>0.46862200000000004</v>
      </c>
      <c r="T86" s="1082"/>
      <c r="U86" s="1082"/>
      <c r="V86" s="1083"/>
    </row>
    <row r="87" spans="2:22" ht="17.45" customHeight="1">
      <c r="B87" s="523"/>
      <c r="C87" s="263" t="s">
        <v>381</v>
      </c>
      <c r="D87" s="1037" t="s">
        <v>382</v>
      </c>
      <c r="E87" s="1037"/>
      <c r="F87" s="1037"/>
      <c r="G87" s="1037"/>
      <c r="H87" s="1037"/>
      <c r="I87" s="1037"/>
      <c r="J87" s="1038" t="s">
        <v>356</v>
      </c>
      <c r="K87" s="1038"/>
      <c r="L87" s="1039">
        <v>5.0000000000000001E-3</v>
      </c>
      <c r="M87" s="1039"/>
      <c r="N87" s="1039"/>
      <c r="O87" s="1040">
        <f>REAJUSTAMENTO!J25</f>
        <v>71.900000000000006</v>
      </c>
      <c r="P87" s="1040"/>
      <c r="Q87" s="1040"/>
      <c r="R87" s="1040"/>
      <c r="S87" s="1082">
        <f t="shared" si="3"/>
        <v>0.35950000000000004</v>
      </c>
      <c r="T87" s="1082"/>
      <c r="U87" s="1082"/>
      <c r="V87" s="1083"/>
    </row>
    <row r="88" spans="2:22" ht="17.45" customHeight="1">
      <c r="B88" s="524"/>
      <c r="C88" s="262" t="s">
        <v>385</v>
      </c>
      <c r="D88" s="1019" t="s">
        <v>386</v>
      </c>
      <c r="E88" s="1019"/>
      <c r="F88" s="1019"/>
      <c r="G88" s="1019"/>
      <c r="H88" s="1019"/>
      <c r="I88" s="1019"/>
      <c r="J88" s="1020" t="s">
        <v>356</v>
      </c>
      <c r="K88" s="1020"/>
      <c r="L88" s="1021">
        <v>1.6999999999999999E-3</v>
      </c>
      <c r="M88" s="1021"/>
      <c r="N88" s="1021"/>
      <c r="O88" s="1022">
        <f>REAJUSTAMENTO!J27</f>
        <v>107.85</v>
      </c>
      <c r="P88" s="1022"/>
      <c r="Q88" s="1022"/>
      <c r="R88" s="1022"/>
      <c r="S88" s="1082">
        <f t="shared" si="3"/>
        <v>0.18334499999999998</v>
      </c>
      <c r="T88" s="1082"/>
      <c r="U88" s="1082"/>
      <c r="V88" s="1083"/>
    </row>
    <row r="89" spans="2:22" ht="17.45" customHeight="1">
      <c r="B89" s="1023"/>
      <c r="C89" s="1024"/>
      <c r="D89" s="1024"/>
      <c r="E89" s="1024"/>
      <c r="F89" s="1024"/>
      <c r="G89" s="1024"/>
      <c r="H89" s="1024"/>
      <c r="I89" s="1025" t="s">
        <v>347</v>
      </c>
      <c r="J89" s="1025"/>
      <c r="K89" s="1025"/>
      <c r="L89" s="1025"/>
      <c r="M89" s="1025"/>
      <c r="N89" s="1025"/>
      <c r="O89" s="1025"/>
      <c r="P89" s="1025"/>
      <c r="Q89" s="1025"/>
      <c r="R89" s="1025"/>
      <c r="S89" s="1026">
        <f>SUM(S81:V88)</f>
        <v>2.5909900000000001</v>
      </c>
      <c r="T89" s="1026"/>
      <c r="U89" s="1026"/>
      <c r="V89" s="1027"/>
    </row>
    <row r="90" spans="2:22" ht="17.45" customHeight="1">
      <c r="B90" s="1028"/>
      <c r="C90" s="1029"/>
      <c r="D90" s="1029"/>
      <c r="E90" s="1029"/>
      <c r="F90" s="1029"/>
      <c r="G90" s="1029"/>
      <c r="H90" s="1029"/>
      <c r="I90" s="1029"/>
      <c r="J90" s="1029"/>
      <c r="K90" s="1029"/>
      <c r="L90" s="1029"/>
      <c r="M90" s="1029"/>
      <c r="N90" s="1029"/>
      <c r="O90" s="1029"/>
      <c r="P90" s="1029"/>
      <c r="Q90" s="1029"/>
      <c r="R90" s="1029"/>
      <c r="S90" s="1029"/>
      <c r="T90" s="1029"/>
      <c r="U90" s="1029"/>
      <c r="V90" s="1030"/>
    </row>
    <row r="91" spans="2:22" ht="17.45" customHeight="1">
      <c r="B91" s="1031"/>
      <c r="C91" s="1032"/>
      <c r="D91" s="1032"/>
      <c r="E91" s="1032"/>
      <c r="F91" s="1032"/>
      <c r="G91" s="1032"/>
      <c r="H91" s="1032"/>
      <c r="I91" s="1033" t="s">
        <v>348</v>
      </c>
      <c r="J91" s="1033"/>
      <c r="K91" s="1033"/>
      <c r="L91" s="1033"/>
      <c r="M91" s="1033"/>
      <c r="N91" s="1033"/>
      <c r="O91" s="1033"/>
      <c r="P91" s="1033"/>
      <c r="Q91" s="1033"/>
      <c r="R91" s="1033"/>
      <c r="S91" s="1012">
        <f>S89</f>
        <v>2.5909900000000001</v>
      </c>
      <c r="T91" s="1012"/>
      <c r="U91" s="1012"/>
      <c r="V91" s="1013"/>
    </row>
    <row r="92" spans="2:22" ht="17.45" customHeight="1">
      <c r="B92" s="1031"/>
      <c r="C92" s="1032"/>
      <c r="D92" s="1032"/>
      <c r="E92" s="1032"/>
      <c r="F92" s="1032"/>
      <c r="G92" s="1032"/>
      <c r="H92" s="1033" t="s">
        <v>349</v>
      </c>
      <c r="I92" s="1033"/>
      <c r="J92" s="1033"/>
      <c r="K92" s="1033"/>
      <c r="L92" s="1033"/>
      <c r="M92" s="1035">
        <v>20.7</v>
      </c>
      <c r="N92" s="1035"/>
      <c r="O92" s="1035"/>
      <c r="P92" s="1036" t="s">
        <v>350</v>
      </c>
      <c r="Q92" s="1036"/>
      <c r="R92" s="1036"/>
      <c r="S92" s="1012">
        <f>TRUNC(S91*M92%,2)</f>
        <v>0.53</v>
      </c>
      <c r="T92" s="1012"/>
      <c r="U92" s="1012"/>
      <c r="V92" s="1013"/>
    </row>
    <row r="93" spans="2:22" ht="17.45" customHeight="1">
      <c r="B93" s="1014"/>
      <c r="C93" s="1015"/>
      <c r="D93" s="1015"/>
      <c r="E93" s="1015"/>
      <c r="F93" s="1015"/>
      <c r="G93" s="1015"/>
      <c r="H93" s="1015"/>
      <c r="I93" s="1016" t="s">
        <v>351</v>
      </c>
      <c r="J93" s="1016"/>
      <c r="K93" s="1016"/>
      <c r="L93" s="1016"/>
      <c r="M93" s="1016"/>
      <c r="N93" s="1016"/>
      <c r="O93" s="1016"/>
      <c r="P93" s="1016"/>
      <c r="Q93" s="1016"/>
      <c r="R93" s="1016"/>
      <c r="S93" s="1017">
        <f>S91+S92</f>
        <v>3.1209899999999999</v>
      </c>
      <c r="T93" s="1017"/>
      <c r="U93" s="1017"/>
      <c r="V93" s="1018"/>
    </row>
    <row r="94" spans="2:22" ht="144.94999999999999" customHeight="1">
      <c r="B94" s="214"/>
      <c r="V94" s="217"/>
    </row>
    <row r="95" spans="2:22" ht="144.94999999999999" customHeight="1">
      <c r="B95" s="214"/>
      <c r="V95" s="217"/>
    </row>
    <row r="96" spans="2:22" ht="132" customHeight="1">
      <c r="B96" s="214"/>
      <c r="V96" s="217"/>
    </row>
    <row r="97" spans="2:22" ht="17.45" customHeight="1">
      <c r="B97" s="214"/>
      <c r="C97" s="525"/>
      <c r="D97" s="526"/>
      <c r="E97" s="526"/>
      <c r="F97" s="526"/>
      <c r="G97" s="526"/>
      <c r="H97" s="526"/>
      <c r="I97" s="526"/>
      <c r="J97" s="526"/>
      <c r="K97" s="525"/>
      <c r="L97" s="525"/>
      <c r="M97" s="525"/>
      <c r="N97" s="525"/>
      <c r="O97" s="543"/>
      <c r="P97" s="543"/>
      <c r="Q97" s="543"/>
      <c r="R97" s="543"/>
      <c r="S97" s="525"/>
      <c r="T97" s="525"/>
      <c r="U97" s="525"/>
      <c r="V97" s="217"/>
    </row>
    <row r="98" spans="2:22" ht="17.45" customHeight="1">
      <c r="B98" s="514"/>
      <c r="C98" s="1063" t="s">
        <v>320</v>
      </c>
      <c r="D98" s="1063"/>
      <c r="E98" s="1063"/>
      <c r="F98" s="515"/>
      <c r="G98" s="1042" t="str">
        <f>G77</f>
        <v>Data Base: Dez./2022 (SINAPI) e Jul./2022 (SICRO) sem desoneração</v>
      </c>
      <c r="H98" s="1042"/>
      <c r="I98" s="1042"/>
      <c r="J98" s="1042"/>
      <c r="K98" s="1042"/>
      <c r="L98" s="1042"/>
      <c r="M98" s="516"/>
      <c r="N98" s="1043" t="s">
        <v>644</v>
      </c>
      <c r="O98" s="1043"/>
      <c r="P98" s="1043"/>
      <c r="Q98" s="1043"/>
      <c r="R98" s="1043"/>
      <c r="S98" s="1043"/>
      <c r="T98" s="1043"/>
      <c r="U98" s="1043"/>
      <c r="V98" s="517"/>
    </row>
    <row r="99" spans="2:22" ht="17.45" customHeight="1">
      <c r="B99" s="518"/>
      <c r="C99" s="1064" t="s">
        <v>321</v>
      </c>
      <c r="D99" s="1064"/>
      <c r="E99" s="1065" t="s">
        <v>387</v>
      </c>
      <c r="F99" s="1065"/>
      <c r="G99" s="1065"/>
      <c r="H99" s="1065"/>
      <c r="I99" s="1065"/>
      <c r="J99" s="1065"/>
      <c r="K99" s="1066" t="s">
        <v>322</v>
      </c>
      <c r="L99" s="1066"/>
      <c r="M99" s="211"/>
      <c r="N99" s="1067" t="s">
        <v>388</v>
      </c>
      <c r="O99" s="1067"/>
      <c r="P99" s="1067"/>
      <c r="Q99" s="541"/>
      <c r="R99" s="541"/>
      <c r="S99" s="211"/>
      <c r="T99" s="211"/>
      <c r="U99" s="211"/>
      <c r="V99" s="519"/>
    </row>
    <row r="100" spans="2:22" ht="17.45" customHeight="1">
      <c r="B100" s="520"/>
      <c r="C100" s="1064"/>
      <c r="D100" s="1064"/>
      <c r="E100" s="1065"/>
      <c r="F100" s="1065"/>
      <c r="G100" s="1065"/>
      <c r="H100" s="1065"/>
      <c r="I100" s="1065"/>
      <c r="J100" s="1065"/>
      <c r="K100" s="1068" t="s">
        <v>324</v>
      </c>
      <c r="L100" s="1068"/>
      <c r="M100" s="212"/>
      <c r="N100" s="1069">
        <v>1</v>
      </c>
      <c r="O100" s="1069"/>
      <c r="P100" s="1069"/>
      <c r="Q100" s="542"/>
      <c r="R100" s="1068" t="s">
        <v>325</v>
      </c>
      <c r="S100" s="1068"/>
      <c r="T100" s="212"/>
      <c r="U100" s="213" t="s">
        <v>356</v>
      </c>
      <c r="V100" s="521"/>
    </row>
    <row r="101" spans="2:22" ht="17.45" customHeight="1">
      <c r="B101" s="1050" t="s">
        <v>327</v>
      </c>
      <c r="C101" s="1051"/>
      <c r="D101" s="1052" t="s">
        <v>234</v>
      </c>
      <c r="E101" s="1052"/>
      <c r="F101" s="1052"/>
      <c r="G101" s="1052"/>
      <c r="H101" s="1052"/>
      <c r="I101" s="1052"/>
      <c r="J101" s="1051" t="s">
        <v>241</v>
      </c>
      <c r="K101" s="1051"/>
      <c r="L101" s="1051" t="s">
        <v>245</v>
      </c>
      <c r="M101" s="1051"/>
      <c r="N101" s="1051"/>
      <c r="O101" s="1053" t="s">
        <v>328</v>
      </c>
      <c r="P101" s="1053"/>
      <c r="Q101" s="1053"/>
      <c r="R101" s="1053"/>
      <c r="S101" s="1052" t="s">
        <v>329</v>
      </c>
      <c r="T101" s="1052"/>
      <c r="U101" s="1052"/>
      <c r="V101" s="1054"/>
    </row>
    <row r="102" spans="2:22" ht="17.45" customHeight="1">
      <c r="B102" s="522"/>
      <c r="C102" s="264" t="s">
        <v>369</v>
      </c>
      <c r="D102" s="1055" t="s">
        <v>370</v>
      </c>
      <c r="E102" s="1055"/>
      <c r="F102" s="1055"/>
      <c r="G102" s="1055"/>
      <c r="H102" s="1055"/>
      <c r="I102" s="1055"/>
      <c r="J102" s="1060" t="s">
        <v>356</v>
      </c>
      <c r="K102" s="1060"/>
      <c r="L102" s="1056">
        <v>1.6999999999999999E-3</v>
      </c>
      <c r="M102" s="1056"/>
      <c r="N102" s="1056"/>
      <c r="O102" s="1010">
        <f>REAJUSTAMENTO!J13</f>
        <v>191.76</v>
      </c>
      <c r="P102" s="1010"/>
      <c r="Q102" s="1010"/>
      <c r="R102" s="1010"/>
      <c r="S102" s="1082">
        <f>L102*O102</f>
        <v>0.32599199999999995</v>
      </c>
      <c r="T102" s="1082"/>
      <c r="U102" s="1082"/>
      <c r="V102" s="1083"/>
    </row>
    <row r="103" spans="2:22" ht="17.45" customHeight="1">
      <c r="B103" s="523"/>
      <c r="C103" s="263" t="s">
        <v>371</v>
      </c>
      <c r="D103" s="1037" t="s">
        <v>372</v>
      </c>
      <c r="E103" s="1037"/>
      <c r="F103" s="1037"/>
      <c r="G103" s="1037"/>
      <c r="H103" s="1037"/>
      <c r="I103" s="1037"/>
      <c r="J103" s="1038" t="s">
        <v>356</v>
      </c>
      <c r="K103" s="1038"/>
      <c r="L103" s="1039">
        <v>1.6999999999999999E-3</v>
      </c>
      <c r="M103" s="1039"/>
      <c r="N103" s="1039"/>
      <c r="O103" s="1040">
        <f>REAJUSTAMENTO!J15</f>
        <v>119.86</v>
      </c>
      <c r="P103" s="1040"/>
      <c r="Q103" s="1040"/>
      <c r="R103" s="1040"/>
      <c r="S103" s="1082">
        <f t="shared" ref="S103:S109" si="4">L103*O103</f>
        <v>0.203762</v>
      </c>
      <c r="T103" s="1082"/>
      <c r="U103" s="1082"/>
      <c r="V103" s="1083"/>
    </row>
    <row r="104" spans="2:22" ht="17.45" customHeight="1">
      <c r="B104" s="523"/>
      <c r="C104" s="263" t="s">
        <v>373</v>
      </c>
      <c r="D104" s="1037" t="s">
        <v>374</v>
      </c>
      <c r="E104" s="1037"/>
      <c r="F104" s="1037"/>
      <c r="G104" s="1037"/>
      <c r="H104" s="1037"/>
      <c r="I104" s="1037"/>
      <c r="J104" s="1038" t="s">
        <v>356</v>
      </c>
      <c r="K104" s="1038"/>
      <c r="L104" s="1039">
        <v>1.6999999999999999E-3</v>
      </c>
      <c r="M104" s="1039"/>
      <c r="N104" s="1039"/>
      <c r="O104" s="1040">
        <f>REAJUSTAMENTO!J17</f>
        <v>107.85</v>
      </c>
      <c r="P104" s="1040"/>
      <c r="Q104" s="1040"/>
      <c r="R104" s="1040"/>
      <c r="S104" s="1082">
        <f t="shared" si="4"/>
        <v>0.18334499999999998</v>
      </c>
      <c r="T104" s="1082"/>
      <c r="U104" s="1082"/>
      <c r="V104" s="1083"/>
    </row>
    <row r="105" spans="2:22" ht="17.45" customHeight="1">
      <c r="B105" s="523"/>
      <c r="C105" s="263" t="s">
        <v>375</v>
      </c>
      <c r="D105" s="1037" t="s">
        <v>376</v>
      </c>
      <c r="E105" s="1037"/>
      <c r="F105" s="1037"/>
      <c r="G105" s="1037"/>
      <c r="H105" s="1037"/>
      <c r="I105" s="1037"/>
      <c r="J105" s="1038" t="s">
        <v>356</v>
      </c>
      <c r="K105" s="1038"/>
      <c r="L105" s="1039">
        <v>1.6999999999999999E-3</v>
      </c>
      <c r="M105" s="1039"/>
      <c r="N105" s="1039"/>
      <c r="O105" s="1040">
        <f>REAJUSTAMENTO!J19</f>
        <v>227.72</v>
      </c>
      <c r="P105" s="1040"/>
      <c r="Q105" s="1040"/>
      <c r="R105" s="1040"/>
      <c r="S105" s="1082">
        <f t="shared" si="4"/>
        <v>0.38712399999999997</v>
      </c>
      <c r="T105" s="1082"/>
      <c r="U105" s="1082"/>
      <c r="V105" s="1083"/>
    </row>
    <row r="106" spans="2:22" ht="17.45" customHeight="1">
      <c r="B106" s="523"/>
      <c r="C106" s="263" t="s">
        <v>377</v>
      </c>
      <c r="D106" s="1037" t="s">
        <v>378</v>
      </c>
      <c r="E106" s="1037"/>
      <c r="F106" s="1037"/>
      <c r="G106" s="1037"/>
      <c r="H106" s="1037"/>
      <c r="I106" s="1037"/>
      <c r="J106" s="1038" t="s">
        <v>356</v>
      </c>
      <c r="K106" s="1038"/>
      <c r="L106" s="1039">
        <v>5.0000000000000001E-3</v>
      </c>
      <c r="M106" s="1039"/>
      <c r="N106" s="1039"/>
      <c r="O106" s="1040">
        <f>REAJUSTAMENTO!J21</f>
        <v>95.86</v>
      </c>
      <c r="P106" s="1040"/>
      <c r="Q106" s="1040"/>
      <c r="R106" s="1040"/>
      <c r="S106" s="1082">
        <f t="shared" si="4"/>
        <v>0.4793</v>
      </c>
      <c r="T106" s="1082"/>
      <c r="U106" s="1082"/>
      <c r="V106" s="1083"/>
    </row>
    <row r="107" spans="2:22" ht="17.45" customHeight="1">
      <c r="B107" s="523"/>
      <c r="C107" s="263" t="s">
        <v>379</v>
      </c>
      <c r="D107" s="1037" t="s">
        <v>380</v>
      </c>
      <c r="E107" s="1037"/>
      <c r="F107" s="1037"/>
      <c r="G107" s="1037"/>
      <c r="H107" s="1037"/>
      <c r="I107" s="1037"/>
      <c r="J107" s="1038" t="s">
        <v>356</v>
      </c>
      <c r="K107" s="1038"/>
      <c r="L107" s="1039">
        <v>1.6999999999999999E-3</v>
      </c>
      <c r="M107" s="1039"/>
      <c r="N107" s="1039"/>
      <c r="O107" s="1040">
        <f>REAJUSTAMENTO!J23</f>
        <v>275.66000000000003</v>
      </c>
      <c r="P107" s="1040"/>
      <c r="Q107" s="1040"/>
      <c r="R107" s="1040"/>
      <c r="S107" s="1082">
        <f t="shared" si="4"/>
        <v>0.46862200000000004</v>
      </c>
      <c r="T107" s="1082"/>
      <c r="U107" s="1082"/>
      <c r="V107" s="1083"/>
    </row>
    <row r="108" spans="2:22" ht="17.45" customHeight="1">
      <c r="B108" s="523"/>
      <c r="C108" s="263" t="s">
        <v>381</v>
      </c>
      <c r="D108" s="1037" t="s">
        <v>382</v>
      </c>
      <c r="E108" s="1037"/>
      <c r="F108" s="1037"/>
      <c r="G108" s="1037"/>
      <c r="H108" s="1037"/>
      <c r="I108" s="1037"/>
      <c r="J108" s="1038" t="s">
        <v>356</v>
      </c>
      <c r="K108" s="1038"/>
      <c r="L108" s="1039">
        <v>5.0000000000000001E-3</v>
      </c>
      <c r="M108" s="1039"/>
      <c r="N108" s="1039"/>
      <c r="O108" s="1040">
        <f>REAJUSTAMENTO!J25</f>
        <v>71.900000000000006</v>
      </c>
      <c r="P108" s="1040"/>
      <c r="Q108" s="1040"/>
      <c r="R108" s="1040"/>
      <c r="S108" s="1082">
        <f t="shared" si="4"/>
        <v>0.35950000000000004</v>
      </c>
      <c r="T108" s="1082"/>
      <c r="U108" s="1082"/>
      <c r="V108" s="1083"/>
    </row>
    <row r="109" spans="2:22" ht="17.45" customHeight="1">
      <c r="B109" s="524"/>
      <c r="C109" s="262" t="s">
        <v>385</v>
      </c>
      <c r="D109" s="1019" t="s">
        <v>386</v>
      </c>
      <c r="E109" s="1019"/>
      <c r="F109" s="1019"/>
      <c r="G109" s="1019"/>
      <c r="H109" s="1019"/>
      <c r="I109" s="1019"/>
      <c r="J109" s="1020" t="s">
        <v>356</v>
      </c>
      <c r="K109" s="1020"/>
      <c r="L109" s="1021">
        <v>1.6999999999999999E-3</v>
      </c>
      <c r="M109" s="1021"/>
      <c r="N109" s="1021"/>
      <c r="O109" s="1022">
        <f>REAJUSTAMENTO!J27</f>
        <v>107.85</v>
      </c>
      <c r="P109" s="1022"/>
      <c r="Q109" s="1022"/>
      <c r="R109" s="1022"/>
      <c r="S109" s="1082">
        <f t="shared" si="4"/>
        <v>0.18334499999999998</v>
      </c>
      <c r="T109" s="1082"/>
      <c r="U109" s="1082"/>
      <c r="V109" s="1083"/>
    </row>
    <row r="110" spans="2:22" ht="17.45" customHeight="1">
      <c r="B110" s="1023"/>
      <c r="C110" s="1024"/>
      <c r="D110" s="1024"/>
      <c r="E110" s="1024"/>
      <c r="F110" s="1024"/>
      <c r="G110" s="1024"/>
      <c r="H110" s="1024"/>
      <c r="I110" s="1025" t="s">
        <v>347</v>
      </c>
      <c r="J110" s="1025"/>
      <c r="K110" s="1025"/>
      <c r="L110" s="1025"/>
      <c r="M110" s="1025"/>
      <c r="N110" s="1025"/>
      <c r="O110" s="1025"/>
      <c r="P110" s="1025"/>
      <c r="Q110" s="1025"/>
      <c r="R110" s="1025"/>
      <c r="S110" s="1026">
        <f>SUM(S102:V109)</f>
        <v>2.5909900000000001</v>
      </c>
      <c r="T110" s="1026"/>
      <c r="U110" s="1026"/>
      <c r="V110" s="1027"/>
    </row>
    <row r="111" spans="2:22" ht="17.45" customHeight="1">
      <c r="B111" s="1028"/>
      <c r="C111" s="1029"/>
      <c r="D111" s="1029"/>
      <c r="E111" s="1029"/>
      <c r="F111" s="1029"/>
      <c r="G111" s="1029"/>
      <c r="H111" s="1029"/>
      <c r="I111" s="1029"/>
      <c r="J111" s="1029"/>
      <c r="K111" s="1029"/>
      <c r="L111" s="1029"/>
      <c r="M111" s="1029"/>
      <c r="N111" s="1029"/>
      <c r="O111" s="1029"/>
      <c r="P111" s="1029"/>
      <c r="Q111" s="1029"/>
      <c r="R111" s="1029"/>
      <c r="S111" s="1029"/>
      <c r="T111" s="1029"/>
      <c r="U111" s="1029"/>
      <c r="V111" s="1030"/>
    </row>
    <row r="112" spans="2:22" ht="17.45" customHeight="1">
      <c r="B112" s="1031"/>
      <c r="C112" s="1032"/>
      <c r="D112" s="1032"/>
      <c r="E112" s="1032"/>
      <c r="F112" s="1032"/>
      <c r="G112" s="1032"/>
      <c r="H112" s="1032"/>
      <c r="I112" s="1033" t="s">
        <v>348</v>
      </c>
      <c r="J112" s="1033"/>
      <c r="K112" s="1033"/>
      <c r="L112" s="1033"/>
      <c r="M112" s="1033"/>
      <c r="N112" s="1033"/>
      <c r="O112" s="1033"/>
      <c r="P112" s="1033"/>
      <c r="Q112" s="1033"/>
      <c r="R112" s="1033"/>
      <c r="S112" s="1012">
        <f>S110</f>
        <v>2.5909900000000001</v>
      </c>
      <c r="T112" s="1012"/>
      <c r="U112" s="1012"/>
      <c r="V112" s="1013"/>
    </row>
    <row r="113" spans="2:22" ht="17.45" customHeight="1">
      <c r="B113" s="1031"/>
      <c r="C113" s="1032"/>
      <c r="D113" s="1032"/>
      <c r="E113" s="1032"/>
      <c r="F113" s="1032"/>
      <c r="G113" s="1032"/>
      <c r="H113" s="1033" t="s">
        <v>349</v>
      </c>
      <c r="I113" s="1033"/>
      <c r="J113" s="1033"/>
      <c r="K113" s="1033"/>
      <c r="L113" s="1033"/>
      <c r="M113" s="1035">
        <v>20.7</v>
      </c>
      <c r="N113" s="1035"/>
      <c r="O113" s="1035"/>
      <c r="P113" s="1036" t="s">
        <v>350</v>
      </c>
      <c r="Q113" s="1036"/>
      <c r="R113" s="1036"/>
      <c r="S113" s="1012">
        <f>TRUNC(S112*M113%,2)</f>
        <v>0.53</v>
      </c>
      <c r="T113" s="1012"/>
      <c r="U113" s="1012"/>
      <c r="V113" s="1013"/>
    </row>
    <row r="114" spans="2:22" ht="17.45" customHeight="1">
      <c r="B114" s="1014"/>
      <c r="C114" s="1015"/>
      <c r="D114" s="1015"/>
      <c r="E114" s="1015"/>
      <c r="F114" s="1015"/>
      <c r="G114" s="1015"/>
      <c r="H114" s="1015"/>
      <c r="I114" s="1016" t="s">
        <v>351</v>
      </c>
      <c r="J114" s="1016"/>
      <c r="K114" s="1016"/>
      <c r="L114" s="1016"/>
      <c r="M114" s="1016"/>
      <c r="N114" s="1016"/>
      <c r="O114" s="1016"/>
      <c r="P114" s="1016"/>
      <c r="Q114" s="1016"/>
      <c r="R114" s="1016"/>
      <c r="S114" s="1017">
        <f>S112+S113</f>
        <v>3.1209899999999999</v>
      </c>
      <c r="T114" s="1017"/>
      <c r="U114" s="1017"/>
      <c r="V114" s="1018"/>
    </row>
    <row r="115" spans="2:22" ht="144.94999999999999" customHeight="1">
      <c r="B115" s="214"/>
      <c r="V115" s="217"/>
    </row>
    <row r="116" spans="2:22" ht="144.94999999999999" customHeight="1">
      <c r="B116" s="214"/>
      <c r="V116" s="217"/>
    </row>
    <row r="117" spans="2:22" ht="138.75" customHeight="1">
      <c r="B117" s="214"/>
      <c r="V117" s="217"/>
    </row>
    <row r="118" spans="2:22" ht="17.45" customHeight="1">
      <c r="B118" s="214"/>
      <c r="C118" s="525"/>
      <c r="D118" s="526"/>
      <c r="E118" s="526"/>
      <c r="F118" s="526"/>
      <c r="G118" s="526"/>
      <c r="H118" s="526"/>
      <c r="I118" s="526"/>
      <c r="J118" s="526"/>
      <c r="K118" s="525"/>
      <c r="L118" s="525"/>
      <c r="M118" s="525"/>
      <c r="N118" s="525"/>
      <c r="O118" s="543"/>
      <c r="P118" s="543"/>
      <c r="Q118" s="543"/>
      <c r="R118" s="543"/>
      <c r="S118" s="525"/>
      <c r="T118" s="525"/>
      <c r="U118" s="525"/>
      <c r="V118" s="217"/>
    </row>
    <row r="119" spans="2:22" ht="17.45" customHeight="1">
      <c r="B119" s="514"/>
      <c r="C119" s="1063" t="s">
        <v>320</v>
      </c>
      <c r="D119" s="1063"/>
      <c r="E119" s="1063"/>
      <c r="F119" s="515"/>
      <c r="G119" s="1042" t="str">
        <f>G98</f>
        <v>Data Base: Dez./2022 (SINAPI) e Jul./2022 (SICRO) sem desoneração</v>
      </c>
      <c r="H119" s="1042"/>
      <c r="I119" s="1042"/>
      <c r="J119" s="1042"/>
      <c r="K119" s="1042"/>
      <c r="L119" s="1042"/>
      <c r="M119" s="516"/>
      <c r="N119" s="1042" t="s">
        <v>644</v>
      </c>
      <c r="O119" s="1042"/>
      <c r="P119" s="1042"/>
      <c r="Q119" s="1042"/>
      <c r="R119" s="1042"/>
      <c r="S119" s="1042"/>
      <c r="T119" s="1042"/>
      <c r="U119" s="1042"/>
      <c r="V119" s="517"/>
    </row>
    <row r="120" spans="2:22" ht="17.45" customHeight="1">
      <c r="B120" s="518"/>
      <c r="C120" s="1064" t="s">
        <v>321</v>
      </c>
      <c r="D120" s="1064"/>
      <c r="E120" s="1065" t="s">
        <v>389</v>
      </c>
      <c r="F120" s="1065"/>
      <c r="G120" s="1065"/>
      <c r="H120" s="1065"/>
      <c r="I120" s="1065"/>
      <c r="J120" s="1065"/>
      <c r="K120" s="1066" t="s">
        <v>322</v>
      </c>
      <c r="L120" s="1066"/>
      <c r="M120" s="211"/>
      <c r="N120" s="1067" t="s">
        <v>390</v>
      </c>
      <c r="O120" s="1067"/>
      <c r="P120" s="1067"/>
      <c r="Q120" s="541"/>
      <c r="R120" s="541"/>
      <c r="S120" s="211"/>
      <c r="T120" s="211"/>
      <c r="U120" s="211"/>
      <c r="V120" s="519"/>
    </row>
    <row r="121" spans="2:22" ht="17.45" customHeight="1">
      <c r="B121" s="520"/>
      <c r="C121" s="1064"/>
      <c r="D121" s="1064"/>
      <c r="E121" s="1065"/>
      <c r="F121" s="1065"/>
      <c r="G121" s="1065"/>
      <c r="H121" s="1065"/>
      <c r="I121" s="1065"/>
      <c r="J121" s="1065"/>
      <c r="K121" s="1068" t="s">
        <v>324</v>
      </c>
      <c r="L121" s="1068"/>
      <c r="M121" s="212"/>
      <c r="N121" s="1069">
        <v>1</v>
      </c>
      <c r="O121" s="1069"/>
      <c r="P121" s="1069"/>
      <c r="Q121" s="542"/>
      <c r="R121" s="1068" t="s">
        <v>325</v>
      </c>
      <c r="S121" s="1068"/>
      <c r="T121" s="212"/>
      <c r="U121" s="213" t="s">
        <v>356</v>
      </c>
      <c r="V121" s="521"/>
    </row>
    <row r="122" spans="2:22" ht="17.45" customHeight="1">
      <c r="B122" s="1050" t="s">
        <v>327</v>
      </c>
      <c r="C122" s="1051"/>
      <c r="D122" s="1052" t="s">
        <v>234</v>
      </c>
      <c r="E122" s="1052"/>
      <c r="F122" s="1052"/>
      <c r="G122" s="1052"/>
      <c r="H122" s="1052"/>
      <c r="I122" s="1052"/>
      <c r="J122" s="1051" t="s">
        <v>241</v>
      </c>
      <c r="K122" s="1051"/>
      <c r="L122" s="1051" t="s">
        <v>245</v>
      </c>
      <c r="M122" s="1051"/>
      <c r="N122" s="1051"/>
      <c r="O122" s="1053" t="s">
        <v>328</v>
      </c>
      <c r="P122" s="1053"/>
      <c r="Q122" s="1053"/>
      <c r="R122" s="1053"/>
      <c r="S122" s="1052" t="s">
        <v>329</v>
      </c>
      <c r="T122" s="1052"/>
      <c r="U122" s="1052"/>
      <c r="V122" s="1054"/>
    </row>
    <row r="123" spans="2:22" ht="17.45" customHeight="1">
      <c r="B123" s="522"/>
      <c r="C123" s="264">
        <v>88249</v>
      </c>
      <c r="D123" s="1055" t="s">
        <v>391</v>
      </c>
      <c r="E123" s="1055"/>
      <c r="F123" s="1055"/>
      <c r="G123" s="1055"/>
      <c r="H123" s="1055"/>
      <c r="I123" s="1055"/>
      <c r="J123" s="1060" t="s">
        <v>335</v>
      </c>
      <c r="K123" s="1060"/>
      <c r="L123" s="1056">
        <v>3.6</v>
      </c>
      <c r="M123" s="1056"/>
      <c r="N123" s="1056"/>
      <c r="O123" s="1010">
        <v>25.62</v>
      </c>
      <c r="P123" s="1010"/>
      <c r="Q123" s="1010"/>
      <c r="R123" s="1010"/>
      <c r="S123" s="1082">
        <f>L123*O123</f>
        <v>92.231999999999999</v>
      </c>
      <c r="T123" s="1082"/>
      <c r="U123" s="1082"/>
      <c r="V123" s="1083"/>
    </row>
    <row r="124" spans="2:22" ht="17.45" customHeight="1">
      <c r="B124" s="524"/>
      <c r="C124" s="262">
        <v>88321</v>
      </c>
      <c r="D124" s="1019" t="s">
        <v>392</v>
      </c>
      <c r="E124" s="1019"/>
      <c r="F124" s="1019"/>
      <c r="G124" s="1019"/>
      <c r="H124" s="1019"/>
      <c r="I124" s="1019"/>
      <c r="J124" s="1020" t="s">
        <v>335</v>
      </c>
      <c r="K124" s="1020"/>
      <c r="L124" s="1021">
        <v>1.8</v>
      </c>
      <c r="M124" s="1021"/>
      <c r="N124" s="1021"/>
      <c r="O124" s="1022">
        <v>27.99</v>
      </c>
      <c r="P124" s="1022"/>
      <c r="Q124" s="1022"/>
      <c r="R124" s="1022"/>
      <c r="S124" s="1082">
        <f>L124*O124</f>
        <v>50.381999999999998</v>
      </c>
      <c r="T124" s="1082"/>
      <c r="U124" s="1082"/>
      <c r="V124" s="1083"/>
    </row>
    <row r="125" spans="2:22" ht="17.45" customHeight="1">
      <c r="B125" s="1023"/>
      <c r="C125" s="1024"/>
      <c r="D125" s="1024"/>
      <c r="E125" s="1024"/>
      <c r="F125" s="1024"/>
      <c r="G125" s="1024"/>
      <c r="H125" s="1024"/>
      <c r="I125" s="1025" t="s">
        <v>347</v>
      </c>
      <c r="J125" s="1025"/>
      <c r="K125" s="1025"/>
      <c r="L125" s="1025"/>
      <c r="M125" s="1025"/>
      <c r="N125" s="1025"/>
      <c r="O125" s="1025"/>
      <c r="P125" s="1025"/>
      <c r="Q125" s="1025"/>
      <c r="R125" s="1025"/>
      <c r="S125" s="1026">
        <f>SUM(S123:V124)</f>
        <v>142.614</v>
      </c>
      <c r="T125" s="1026"/>
      <c r="U125" s="1026"/>
      <c r="V125" s="1027"/>
    </row>
    <row r="126" spans="2:22" ht="17.45" customHeight="1">
      <c r="B126" s="1028"/>
      <c r="C126" s="1029"/>
      <c r="D126" s="1029"/>
      <c r="E126" s="1029"/>
      <c r="F126" s="1029"/>
      <c r="G126" s="1029"/>
      <c r="H126" s="1029"/>
      <c r="I126" s="1029"/>
      <c r="J126" s="1029"/>
      <c r="K126" s="1029"/>
      <c r="L126" s="1029"/>
      <c r="M126" s="1029"/>
      <c r="N126" s="1029"/>
      <c r="O126" s="1029"/>
      <c r="P126" s="1029"/>
      <c r="Q126" s="1029"/>
      <c r="R126" s="1029"/>
      <c r="S126" s="1029"/>
      <c r="T126" s="1029"/>
      <c r="U126" s="1029"/>
      <c r="V126" s="1030"/>
    </row>
    <row r="127" spans="2:22" ht="17.45" customHeight="1">
      <c r="B127" s="1031"/>
      <c r="C127" s="1032"/>
      <c r="D127" s="1032"/>
      <c r="E127" s="1032"/>
      <c r="F127" s="1032"/>
      <c r="G127" s="1032"/>
      <c r="H127" s="1032"/>
      <c r="I127" s="1033" t="s">
        <v>348</v>
      </c>
      <c r="J127" s="1033"/>
      <c r="K127" s="1033"/>
      <c r="L127" s="1033"/>
      <c r="M127" s="1033"/>
      <c r="N127" s="1033"/>
      <c r="O127" s="1033"/>
      <c r="P127" s="1033"/>
      <c r="Q127" s="1033"/>
      <c r="R127" s="1033"/>
      <c r="S127" s="1012">
        <f>S125</f>
        <v>142.614</v>
      </c>
      <c r="T127" s="1012"/>
      <c r="U127" s="1012"/>
      <c r="V127" s="1013"/>
    </row>
    <row r="128" spans="2:22" ht="17.45" customHeight="1">
      <c r="B128" s="1031"/>
      <c r="C128" s="1032"/>
      <c r="D128" s="1032"/>
      <c r="E128" s="1032"/>
      <c r="F128" s="1032"/>
      <c r="G128" s="1032"/>
      <c r="H128" s="1033" t="s">
        <v>349</v>
      </c>
      <c r="I128" s="1033"/>
      <c r="J128" s="1033"/>
      <c r="K128" s="1033"/>
      <c r="L128" s="1033"/>
      <c r="M128" s="1035">
        <v>20.7</v>
      </c>
      <c r="N128" s="1035"/>
      <c r="O128" s="1035"/>
      <c r="P128" s="1036" t="s">
        <v>350</v>
      </c>
      <c r="Q128" s="1036"/>
      <c r="R128" s="1036"/>
      <c r="S128" s="1012">
        <f>TRUNC(S127*M128%,2)</f>
        <v>29.52</v>
      </c>
      <c r="T128" s="1012"/>
      <c r="U128" s="1012"/>
      <c r="V128" s="1013"/>
    </row>
    <row r="129" spans="2:22" ht="17.45" customHeight="1">
      <c r="B129" s="1014"/>
      <c r="C129" s="1015"/>
      <c r="D129" s="1015"/>
      <c r="E129" s="1015"/>
      <c r="F129" s="1015"/>
      <c r="G129" s="1015"/>
      <c r="H129" s="1015"/>
      <c r="I129" s="1016" t="s">
        <v>351</v>
      </c>
      <c r="J129" s="1016"/>
      <c r="K129" s="1016"/>
      <c r="L129" s="1016"/>
      <c r="M129" s="1016"/>
      <c r="N129" s="1016"/>
      <c r="O129" s="1016"/>
      <c r="P129" s="1016"/>
      <c r="Q129" s="1016"/>
      <c r="R129" s="1016"/>
      <c r="S129" s="1017">
        <f>S127+S128</f>
        <v>172.13400000000001</v>
      </c>
      <c r="T129" s="1017"/>
      <c r="U129" s="1017"/>
      <c r="V129" s="1018"/>
    </row>
    <row r="130" spans="2:22" ht="144.94999999999999" customHeight="1">
      <c r="B130" s="214"/>
      <c r="V130" s="217"/>
    </row>
    <row r="131" spans="2:22" ht="144.94999999999999" customHeight="1">
      <c r="B131" s="214"/>
      <c r="V131" s="217"/>
    </row>
    <row r="132" spans="2:22" ht="186" customHeight="1">
      <c r="B132" s="214"/>
      <c r="V132" s="217"/>
    </row>
    <row r="133" spans="2:22" ht="49.5" customHeight="1">
      <c r="B133" s="214"/>
      <c r="V133" s="217"/>
    </row>
    <row r="134" spans="2:22" ht="17.45" customHeight="1">
      <c r="B134" s="214"/>
      <c r="C134" s="525"/>
      <c r="D134" s="526"/>
      <c r="E134" s="526"/>
      <c r="F134" s="526"/>
      <c r="G134" s="526"/>
      <c r="H134" s="526"/>
      <c r="I134" s="526"/>
      <c r="J134" s="526"/>
      <c r="K134" s="525"/>
      <c r="L134" s="525"/>
      <c r="M134" s="525"/>
      <c r="N134" s="525"/>
      <c r="O134" s="543"/>
      <c r="P134" s="543"/>
      <c r="Q134" s="543"/>
      <c r="R134" s="543"/>
      <c r="S134" s="525"/>
      <c r="T134" s="525"/>
      <c r="U134" s="525"/>
      <c r="V134" s="217"/>
    </row>
    <row r="135" spans="2:22" ht="17.45" customHeight="1">
      <c r="B135" s="514"/>
      <c r="C135" s="1063" t="s">
        <v>320</v>
      </c>
      <c r="D135" s="1063"/>
      <c r="E135" s="1063"/>
      <c r="F135" s="515"/>
      <c r="G135" s="1042" t="str">
        <f>G119</f>
        <v>Data Base: Dez./2022 (SINAPI) e Jul./2022 (SICRO) sem desoneração</v>
      </c>
      <c r="H135" s="1042"/>
      <c r="I135" s="1042"/>
      <c r="J135" s="1042"/>
      <c r="K135" s="1042"/>
      <c r="L135" s="1042"/>
      <c r="M135" s="516"/>
      <c r="N135" s="1043" t="s">
        <v>644</v>
      </c>
      <c r="O135" s="1043"/>
      <c r="P135" s="1043"/>
      <c r="Q135" s="1043"/>
      <c r="R135" s="1043"/>
      <c r="S135" s="1043"/>
      <c r="T135" s="1043"/>
      <c r="U135" s="1043"/>
      <c r="V135" s="517"/>
    </row>
    <row r="136" spans="2:22" ht="17.45" customHeight="1">
      <c r="B136" s="518"/>
      <c r="C136" s="1064" t="s">
        <v>321</v>
      </c>
      <c r="D136" s="1064"/>
      <c r="E136" s="1065" t="s">
        <v>393</v>
      </c>
      <c r="F136" s="1065"/>
      <c r="G136" s="1065"/>
      <c r="H136" s="1065"/>
      <c r="I136" s="1065"/>
      <c r="J136" s="1065"/>
      <c r="K136" s="1066" t="s">
        <v>322</v>
      </c>
      <c r="L136" s="1066"/>
      <c r="M136" s="211"/>
      <c r="N136" s="1067" t="s">
        <v>394</v>
      </c>
      <c r="O136" s="1067"/>
      <c r="P136" s="1067"/>
      <c r="Q136" s="541"/>
      <c r="R136" s="541"/>
      <c r="S136" s="211"/>
      <c r="T136" s="211"/>
      <c r="U136" s="211"/>
      <c r="V136" s="519"/>
    </row>
    <row r="137" spans="2:22" ht="17.45" customHeight="1">
      <c r="B137" s="520"/>
      <c r="C137" s="1064"/>
      <c r="D137" s="1064"/>
      <c r="E137" s="1065"/>
      <c r="F137" s="1065"/>
      <c r="G137" s="1065"/>
      <c r="H137" s="1065"/>
      <c r="I137" s="1065"/>
      <c r="J137" s="1065"/>
      <c r="K137" s="1068" t="s">
        <v>324</v>
      </c>
      <c r="L137" s="1068"/>
      <c r="M137" s="212"/>
      <c r="N137" s="1069">
        <v>1</v>
      </c>
      <c r="O137" s="1069"/>
      <c r="P137" s="1069"/>
      <c r="Q137" s="542"/>
      <c r="R137" s="1068" t="s">
        <v>325</v>
      </c>
      <c r="S137" s="1068"/>
      <c r="T137" s="212"/>
      <c r="U137" s="213" t="s">
        <v>326</v>
      </c>
      <c r="V137" s="521"/>
    </row>
    <row r="138" spans="2:22" ht="17.45" customHeight="1">
      <c r="B138" s="1050" t="s">
        <v>327</v>
      </c>
      <c r="C138" s="1051"/>
      <c r="D138" s="1052" t="s">
        <v>234</v>
      </c>
      <c r="E138" s="1052"/>
      <c r="F138" s="1052"/>
      <c r="G138" s="1052"/>
      <c r="H138" s="1052"/>
      <c r="I138" s="1052"/>
      <c r="J138" s="1051" t="s">
        <v>241</v>
      </c>
      <c r="K138" s="1051"/>
      <c r="L138" s="1051" t="s">
        <v>245</v>
      </c>
      <c r="M138" s="1051"/>
      <c r="N138" s="1051"/>
      <c r="O138" s="1053" t="s">
        <v>328</v>
      </c>
      <c r="P138" s="1053"/>
      <c r="Q138" s="1053"/>
      <c r="R138" s="1053"/>
      <c r="S138" s="1052" t="s">
        <v>329</v>
      </c>
      <c r="T138" s="1052"/>
      <c r="U138" s="1052"/>
      <c r="V138" s="1054"/>
    </row>
    <row r="139" spans="2:22" ht="17.45" customHeight="1">
      <c r="B139" s="522"/>
      <c r="C139" s="264" t="s">
        <v>395</v>
      </c>
      <c r="D139" s="1055" t="s">
        <v>396</v>
      </c>
      <c r="E139" s="1055"/>
      <c r="F139" s="1055"/>
      <c r="G139" s="1055"/>
      <c r="H139" s="1055"/>
      <c r="I139" s="1055"/>
      <c r="J139" s="1060" t="s">
        <v>397</v>
      </c>
      <c r="K139" s="1060"/>
      <c r="L139" s="1056">
        <v>3.0000000000000001E-3</v>
      </c>
      <c r="M139" s="1056"/>
      <c r="N139" s="1056"/>
      <c r="O139" s="1010">
        <v>242.42</v>
      </c>
      <c r="P139" s="1010"/>
      <c r="Q139" s="1010"/>
      <c r="R139" s="1010"/>
      <c r="S139" s="1061">
        <f>L139*O139</f>
        <v>0.72726000000000002</v>
      </c>
      <c r="T139" s="1061"/>
      <c r="U139" s="1061"/>
      <c r="V139" s="1062"/>
    </row>
    <row r="140" spans="2:22" ht="17.45" customHeight="1">
      <c r="B140" s="524"/>
      <c r="C140" s="262" t="s">
        <v>336</v>
      </c>
      <c r="D140" s="1019" t="s">
        <v>337</v>
      </c>
      <c r="E140" s="1019"/>
      <c r="F140" s="1019"/>
      <c r="G140" s="1019"/>
      <c r="H140" s="1019"/>
      <c r="I140" s="1019"/>
      <c r="J140" s="1020" t="s">
        <v>335</v>
      </c>
      <c r="K140" s="1020"/>
      <c r="L140" s="1021">
        <v>3.0000000000000001E-3</v>
      </c>
      <c r="M140" s="1021"/>
      <c r="N140" s="1021"/>
      <c r="O140" s="1022">
        <v>19.28</v>
      </c>
      <c r="P140" s="1022"/>
      <c r="Q140" s="1022"/>
      <c r="R140" s="1022"/>
      <c r="S140" s="1057">
        <f>L140*O140</f>
        <v>5.7840000000000003E-2</v>
      </c>
      <c r="T140" s="1058"/>
      <c r="U140" s="1058"/>
      <c r="V140" s="1059"/>
    </row>
    <row r="141" spans="2:22" ht="17.45" customHeight="1">
      <c r="B141" s="1023"/>
      <c r="C141" s="1024"/>
      <c r="D141" s="1024"/>
      <c r="E141" s="1024"/>
      <c r="F141" s="1024"/>
      <c r="G141" s="1024"/>
      <c r="H141" s="1024"/>
      <c r="I141" s="1025" t="s">
        <v>347</v>
      </c>
      <c r="J141" s="1025"/>
      <c r="K141" s="1025"/>
      <c r="L141" s="1025"/>
      <c r="M141" s="1025"/>
      <c r="N141" s="1025"/>
      <c r="O141" s="1025"/>
      <c r="P141" s="1025"/>
      <c r="Q141" s="1025"/>
      <c r="R141" s="1025"/>
      <c r="S141" s="1026">
        <f>SUM(S139:V140)</f>
        <v>0.78510000000000002</v>
      </c>
      <c r="T141" s="1026"/>
      <c r="U141" s="1026"/>
      <c r="V141" s="1027"/>
    </row>
    <row r="142" spans="2:22" ht="17.45" customHeight="1">
      <c r="B142" s="1028"/>
      <c r="C142" s="1029"/>
      <c r="D142" s="1029"/>
      <c r="E142" s="1029"/>
      <c r="F142" s="1029"/>
      <c r="G142" s="1029"/>
      <c r="H142" s="1029"/>
      <c r="I142" s="1029"/>
      <c r="J142" s="1029"/>
      <c r="K142" s="1029"/>
      <c r="L142" s="1029"/>
      <c r="M142" s="1029"/>
      <c r="N142" s="1029"/>
      <c r="O142" s="1029"/>
      <c r="P142" s="1029"/>
      <c r="Q142" s="1029"/>
      <c r="R142" s="1029"/>
      <c r="S142" s="1029"/>
      <c r="T142" s="1029"/>
      <c r="U142" s="1029"/>
      <c r="V142" s="1030"/>
    </row>
    <row r="143" spans="2:22" ht="17.45" customHeight="1">
      <c r="B143" s="1031"/>
      <c r="C143" s="1032"/>
      <c r="D143" s="1032"/>
      <c r="E143" s="1032"/>
      <c r="F143" s="1032"/>
      <c r="G143" s="1032"/>
      <c r="H143" s="1032"/>
      <c r="I143" s="1033" t="s">
        <v>348</v>
      </c>
      <c r="J143" s="1033"/>
      <c r="K143" s="1033"/>
      <c r="L143" s="1033"/>
      <c r="M143" s="1033"/>
      <c r="N143" s="1033"/>
      <c r="O143" s="1033"/>
      <c r="P143" s="1033"/>
      <c r="Q143" s="1033"/>
      <c r="R143" s="1033"/>
      <c r="S143" s="1012">
        <f>S141</f>
        <v>0.78510000000000002</v>
      </c>
      <c r="T143" s="1012"/>
      <c r="U143" s="1012"/>
      <c r="V143" s="1013"/>
    </row>
    <row r="144" spans="2:22" ht="17.45" customHeight="1">
      <c r="B144" s="1031"/>
      <c r="C144" s="1032"/>
      <c r="D144" s="1032"/>
      <c r="E144" s="1032"/>
      <c r="F144" s="1032"/>
      <c r="G144" s="1032"/>
      <c r="H144" s="1033" t="s">
        <v>349</v>
      </c>
      <c r="I144" s="1033"/>
      <c r="J144" s="1033"/>
      <c r="K144" s="1033"/>
      <c r="L144" s="1033"/>
      <c r="M144" s="1035">
        <v>20.7</v>
      </c>
      <c r="N144" s="1035"/>
      <c r="O144" s="1035"/>
      <c r="P144" s="1036" t="s">
        <v>350</v>
      </c>
      <c r="Q144" s="1036"/>
      <c r="R144" s="1036"/>
      <c r="S144" s="1012">
        <f>TRUNC(S143*M144%,2)</f>
        <v>0.16</v>
      </c>
      <c r="T144" s="1012"/>
      <c r="U144" s="1012"/>
      <c r="V144" s="1013"/>
    </row>
    <row r="145" spans="2:22" ht="17.45" customHeight="1">
      <c r="B145" s="1014"/>
      <c r="C145" s="1015"/>
      <c r="D145" s="1015"/>
      <c r="E145" s="1015"/>
      <c r="F145" s="1015"/>
      <c r="G145" s="1015"/>
      <c r="H145" s="1015"/>
      <c r="I145" s="1016" t="s">
        <v>351</v>
      </c>
      <c r="J145" s="1016"/>
      <c r="K145" s="1016"/>
      <c r="L145" s="1016"/>
      <c r="M145" s="1016"/>
      <c r="N145" s="1016"/>
      <c r="O145" s="1016"/>
      <c r="P145" s="1016"/>
      <c r="Q145" s="1016"/>
      <c r="R145" s="1016"/>
      <c r="S145" s="1017">
        <f>S143+S144</f>
        <v>0.94510000000000005</v>
      </c>
      <c r="T145" s="1017"/>
      <c r="U145" s="1017"/>
      <c r="V145" s="1018"/>
    </row>
    <row r="146" spans="2:22" ht="144.94999999999999" customHeight="1">
      <c r="B146" s="214"/>
      <c r="V146" s="217"/>
    </row>
    <row r="147" spans="2:22" ht="144.94999999999999" customHeight="1">
      <c r="B147" s="214"/>
      <c r="V147" s="217"/>
    </row>
    <row r="148" spans="2:22" ht="195" customHeight="1">
      <c r="B148" s="214"/>
      <c r="V148" s="217"/>
    </row>
    <row r="149" spans="2:22" ht="33" customHeight="1">
      <c r="B149" s="214"/>
      <c r="V149" s="217"/>
    </row>
    <row r="150" spans="2:22" ht="24.75" customHeight="1">
      <c r="B150" s="214"/>
      <c r="C150" s="525"/>
      <c r="D150" s="526"/>
      <c r="E150" s="526"/>
      <c r="F150" s="526"/>
      <c r="G150" s="526"/>
      <c r="H150" s="526"/>
      <c r="I150" s="526"/>
      <c r="J150" s="526"/>
      <c r="K150" s="525"/>
      <c r="L150" s="525"/>
      <c r="M150" s="525"/>
      <c r="N150" s="525"/>
      <c r="O150" s="543"/>
      <c r="P150" s="543"/>
      <c r="Q150" s="543"/>
      <c r="R150" s="543"/>
      <c r="S150" s="525"/>
      <c r="T150" s="525"/>
      <c r="U150" s="525"/>
      <c r="V150" s="217"/>
    </row>
    <row r="151" spans="2:22" ht="17.45" customHeight="1">
      <c r="B151" s="514"/>
      <c r="C151" s="1063" t="s">
        <v>320</v>
      </c>
      <c r="D151" s="1063"/>
      <c r="E151" s="1063"/>
      <c r="F151" s="515"/>
      <c r="G151" s="1042" t="str">
        <f>G135</f>
        <v>Data Base: Dez./2022 (SINAPI) e Jul./2022 (SICRO) sem desoneração</v>
      </c>
      <c r="H151" s="1042"/>
      <c r="I151" s="1042"/>
      <c r="J151" s="1042"/>
      <c r="K151" s="1042"/>
      <c r="L151" s="1042"/>
      <c r="M151" s="516"/>
      <c r="N151" s="1043" t="s">
        <v>644</v>
      </c>
      <c r="O151" s="1043"/>
      <c r="P151" s="1043"/>
      <c r="Q151" s="1043"/>
      <c r="R151" s="1043"/>
      <c r="S151" s="1043"/>
      <c r="T151" s="1043"/>
      <c r="U151" s="1043"/>
      <c r="V151" s="517"/>
    </row>
    <row r="152" spans="2:22" ht="17.45" customHeight="1">
      <c r="B152" s="518"/>
      <c r="C152" s="1064" t="s">
        <v>321</v>
      </c>
      <c r="D152" s="1064"/>
      <c r="E152" s="1065" t="s">
        <v>398</v>
      </c>
      <c r="F152" s="1065"/>
      <c r="G152" s="1065"/>
      <c r="H152" s="1065"/>
      <c r="I152" s="1065"/>
      <c r="J152" s="1065"/>
      <c r="K152" s="1066" t="s">
        <v>322</v>
      </c>
      <c r="L152" s="1066"/>
      <c r="M152" s="211"/>
      <c r="N152" s="1067" t="s">
        <v>399</v>
      </c>
      <c r="O152" s="1067"/>
      <c r="P152" s="1067"/>
      <c r="Q152" s="541"/>
      <c r="R152" s="541"/>
      <c r="S152" s="211"/>
      <c r="T152" s="211"/>
      <c r="U152" s="211"/>
      <c r="V152" s="519"/>
    </row>
    <row r="153" spans="2:22" ht="17.45" customHeight="1">
      <c r="B153" s="520"/>
      <c r="C153" s="1064"/>
      <c r="D153" s="1064"/>
      <c r="E153" s="1065"/>
      <c r="F153" s="1065"/>
      <c r="G153" s="1065"/>
      <c r="H153" s="1065"/>
      <c r="I153" s="1065"/>
      <c r="J153" s="1065"/>
      <c r="K153" s="1068" t="s">
        <v>324</v>
      </c>
      <c r="L153" s="1068"/>
      <c r="M153" s="212"/>
      <c r="N153" s="1069">
        <v>1</v>
      </c>
      <c r="O153" s="1069"/>
      <c r="P153" s="1069"/>
      <c r="Q153" s="542"/>
      <c r="R153" s="1068" t="s">
        <v>325</v>
      </c>
      <c r="S153" s="1068"/>
      <c r="T153" s="212"/>
      <c r="U153" s="213" t="s">
        <v>332</v>
      </c>
      <c r="V153" s="521"/>
    </row>
    <row r="154" spans="2:22" ht="17.45" customHeight="1">
      <c r="B154" s="1050" t="s">
        <v>327</v>
      </c>
      <c r="C154" s="1051"/>
      <c r="D154" s="1052" t="s">
        <v>234</v>
      </c>
      <c r="E154" s="1052"/>
      <c r="F154" s="1052"/>
      <c r="G154" s="1052"/>
      <c r="H154" s="1052"/>
      <c r="I154" s="1052"/>
      <c r="J154" s="1051" t="s">
        <v>241</v>
      </c>
      <c r="K154" s="1051"/>
      <c r="L154" s="1051" t="s">
        <v>245</v>
      </c>
      <c r="M154" s="1051"/>
      <c r="N154" s="1051"/>
      <c r="O154" s="1053" t="s">
        <v>328</v>
      </c>
      <c r="P154" s="1053"/>
      <c r="Q154" s="1053"/>
      <c r="R154" s="1053"/>
      <c r="S154" s="1052" t="s">
        <v>329</v>
      </c>
      <c r="T154" s="1052"/>
      <c r="U154" s="1052"/>
      <c r="V154" s="1054"/>
    </row>
    <row r="155" spans="2:22" ht="17.45" customHeight="1">
      <c r="B155" s="522"/>
      <c r="C155" s="264">
        <v>5847</v>
      </c>
      <c r="D155" s="1055" t="s">
        <v>401</v>
      </c>
      <c r="E155" s="1055"/>
      <c r="F155" s="1055"/>
      <c r="G155" s="1055"/>
      <c r="H155" s="1055"/>
      <c r="I155" s="1055"/>
      <c r="J155" s="1060" t="s">
        <v>397</v>
      </c>
      <c r="K155" s="1060"/>
      <c r="L155" s="1056">
        <v>7.9399999999999991E-3</v>
      </c>
      <c r="M155" s="1056"/>
      <c r="N155" s="1056"/>
      <c r="O155" s="1010">
        <v>261.57</v>
      </c>
      <c r="P155" s="1010"/>
      <c r="Q155" s="1010"/>
      <c r="R155" s="1010"/>
      <c r="S155" s="1061">
        <f>L155*O155</f>
        <v>2.0768657999999998</v>
      </c>
      <c r="T155" s="1061"/>
      <c r="U155" s="1061"/>
      <c r="V155" s="1062"/>
    </row>
    <row r="156" spans="2:22" ht="17.45" customHeight="1">
      <c r="B156" s="524"/>
      <c r="C156" s="262" t="s">
        <v>336</v>
      </c>
      <c r="D156" s="1019" t="s">
        <v>337</v>
      </c>
      <c r="E156" s="1019"/>
      <c r="F156" s="1019"/>
      <c r="G156" s="1019"/>
      <c r="H156" s="1019"/>
      <c r="I156" s="1019"/>
      <c r="J156" s="1020" t="s">
        <v>335</v>
      </c>
      <c r="K156" s="1020"/>
      <c r="L156" s="1021">
        <v>6.8999999999999999E-3</v>
      </c>
      <c r="M156" s="1021"/>
      <c r="N156" s="1021"/>
      <c r="O156" s="1022">
        <v>19.28</v>
      </c>
      <c r="P156" s="1022"/>
      <c r="Q156" s="1022"/>
      <c r="R156" s="1022"/>
      <c r="S156" s="1057">
        <f>L156*O156</f>
        <v>0.13303200000000001</v>
      </c>
      <c r="T156" s="1058"/>
      <c r="U156" s="1058"/>
      <c r="V156" s="1059"/>
    </row>
    <row r="157" spans="2:22" ht="17.45" customHeight="1">
      <c r="B157" s="1023"/>
      <c r="C157" s="1024"/>
      <c r="D157" s="1024"/>
      <c r="E157" s="1024"/>
      <c r="F157" s="1024"/>
      <c r="G157" s="1024"/>
      <c r="H157" s="1024"/>
      <c r="I157" s="1025" t="s">
        <v>347</v>
      </c>
      <c r="J157" s="1025"/>
      <c r="K157" s="1025"/>
      <c r="L157" s="1025"/>
      <c r="M157" s="1025"/>
      <c r="N157" s="1025"/>
      <c r="O157" s="1025"/>
      <c r="P157" s="1025"/>
      <c r="Q157" s="1025"/>
      <c r="R157" s="1025"/>
      <c r="S157" s="1026">
        <f>SUM(S155:V156)</f>
        <v>2.2098977999999998</v>
      </c>
      <c r="T157" s="1026"/>
      <c r="U157" s="1026"/>
      <c r="V157" s="1027"/>
    </row>
    <row r="158" spans="2:22" ht="17.45" customHeight="1">
      <c r="B158" s="1028"/>
      <c r="C158" s="1029"/>
      <c r="D158" s="1029"/>
      <c r="E158" s="1029"/>
      <c r="F158" s="1029"/>
      <c r="G158" s="1029"/>
      <c r="H158" s="1029"/>
      <c r="I158" s="1029"/>
      <c r="J158" s="1029"/>
      <c r="K158" s="1029"/>
      <c r="L158" s="1029"/>
      <c r="M158" s="1029"/>
      <c r="N158" s="1029"/>
      <c r="O158" s="1029"/>
      <c r="P158" s="1029"/>
      <c r="Q158" s="1029"/>
      <c r="R158" s="1029"/>
      <c r="S158" s="1029"/>
      <c r="T158" s="1029"/>
      <c r="U158" s="1029"/>
      <c r="V158" s="1030"/>
    </row>
    <row r="159" spans="2:22" ht="17.45" customHeight="1">
      <c r="B159" s="1031"/>
      <c r="C159" s="1032"/>
      <c r="D159" s="1032"/>
      <c r="E159" s="1032"/>
      <c r="F159" s="1032"/>
      <c r="G159" s="1032"/>
      <c r="H159" s="1032"/>
      <c r="I159" s="1033" t="s">
        <v>348</v>
      </c>
      <c r="J159" s="1033"/>
      <c r="K159" s="1033"/>
      <c r="L159" s="1033"/>
      <c r="M159" s="1033"/>
      <c r="N159" s="1033"/>
      <c r="O159" s="1033"/>
      <c r="P159" s="1033"/>
      <c r="Q159" s="1033"/>
      <c r="R159" s="1033"/>
      <c r="S159" s="1012">
        <f>S157</f>
        <v>2.2098977999999998</v>
      </c>
      <c r="T159" s="1012"/>
      <c r="U159" s="1012"/>
      <c r="V159" s="1013"/>
    </row>
    <row r="160" spans="2:22" ht="17.45" customHeight="1">
      <c r="B160" s="1031"/>
      <c r="C160" s="1032"/>
      <c r="D160" s="1032"/>
      <c r="E160" s="1032"/>
      <c r="F160" s="1032"/>
      <c r="G160" s="1032"/>
      <c r="H160" s="1033" t="s">
        <v>349</v>
      </c>
      <c r="I160" s="1033"/>
      <c r="J160" s="1033"/>
      <c r="K160" s="1033"/>
      <c r="L160" s="1033"/>
      <c r="M160" s="1035">
        <v>20.7</v>
      </c>
      <c r="N160" s="1035"/>
      <c r="O160" s="1035"/>
      <c r="P160" s="1036" t="s">
        <v>350</v>
      </c>
      <c r="Q160" s="1036"/>
      <c r="R160" s="1036"/>
      <c r="S160" s="1012">
        <f>TRUNC(S159*M160%,2)</f>
        <v>0.45</v>
      </c>
      <c r="T160" s="1012"/>
      <c r="U160" s="1012"/>
      <c r="V160" s="1013"/>
    </row>
    <row r="161" spans="2:22" ht="17.45" customHeight="1">
      <c r="B161" s="1014"/>
      <c r="C161" s="1015"/>
      <c r="D161" s="1015"/>
      <c r="E161" s="1015"/>
      <c r="F161" s="1015"/>
      <c r="G161" s="1015"/>
      <c r="H161" s="1015"/>
      <c r="I161" s="1016" t="s">
        <v>351</v>
      </c>
      <c r="J161" s="1016"/>
      <c r="K161" s="1016"/>
      <c r="L161" s="1016"/>
      <c r="M161" s="1016"/>
      <c r="N161" s="1016"/>
      <c r="O161" s="1016"/>
      <c r="P161" s="1016"/>
      <c r="Q161" s="1016"/>
      <c r="R161" s="1016"/>
      <c r="S161" s="1017">
        <f>S159+S160</f>
        <v>2.6598978</v>
      </c>
      <c r="T161" s="1017"/>
      <c r="U161" s="1017"/>
      <c r="V161" s="1018"/>
    </row>
    <row r="162" spans="2:22" ht="144.94999999999999" customHeight="1">
      <c r="B162" s="214"/>
      <c r="V162" s="217"/>
    </row>
    <row r="163" spans="2:22" ht="144.94999999999999" customHeight="1">
      <c r="B163" s="214"/>
      <c r="V163" s="217"/>
    </row>
    <row r="164" spans="2:22" ht="144.94999999999999" customHeight="1">
      <c r="B164" s="214"/>
      <c r="V164" s="217"/>
    </row>
    <row r="165" spans="2:22" ht="96.75" customHeight="1">
      <c r="B165" s="214"/>
      <c r="V165" s="217"/>
    </row>
    <row r="166" spans="2:22" ht="17.45" customHeight="1">
      <c r="B166" s="214"/>
      <c r="C166" s="525"/>
      <c r="D166" s="526"/>
      <c r="E166" s="526"/>
      <c r="F166" s="526"/>
      <c r="G166" s="526"/>
      <c r="H166" s="526"/>
      <c r="I166" s="526"/>
      <c r="J166" s="526"/>
      <c r="K166" s="525"/>
      <c r="L166" s="525"/>
      <c r="M166" s="525"/>
      <c r="N166" s="525"/>
      <c r="O166" s="543"/>
      <c r="P166" s="543"/>
      <c r="Q166" s="543"/>
      <c r="R166" s="543"/>
      <c r="S166" s="525"/>
      <c r="T166" s="525"/>
      <c r="U166" s="525"/>
      <c r="V166" s="217"/>
    </row>
    <row r="167" spans="2:22" ht="17.45" customHeight="1">
      <c r="B167" s="514"/>
      <c r="C167" s="1063" t="s">
        <v>320</v>
      </c>
      <c r="D167" s="1063"/>
      <c r="E167" s="1063"/>
      <c r="F167" s="515"/>
      <c r="G167" s="1042" t="str">
        <f>G151</f>
        <v>Data Base: Dez./2022 (SINAPI) e Jul./2022 (SICRO) sem desoneração</v>
      </c>
      <c r="H167" s="1042"/>
      <c r="I167" s="1042"/>
      <c r="J167" s="1042"/>
      <c r="K167" s="1042"/>
      <c r="L167" s="1042"/>
      <c r="M167" s="516"/>
      <c r="N167" s="1043" t="s">
        <v>644</v>
      </c>
      <c r="O167" s="1043"/>
      <c r="P167" s="1043"/>
      <c r="Q167" s="1043"/>
      <c r="R167" s="1043"/>
      <c r="S167" s="1043"/>
      <c r="T167" s="1043"/>
      <c r="U167" s="1043"/>
      <c r="V167" s="517"/>
    </row>
    <row r="168" spans="2:22" ht="17.45" customHeight="1">
      <c r="B168" s="518"/>
      <c r="C168" s="1064" t="s">
        <v>321</v>
      </c>
      <c r="D168" s="1064"/>
      <c r="E168" s="1065" t="s">
        <v>405</v>
      </c>
      <c r="F168" s="1065"/>
      <c r="G168" s="1065"/>
      <c r="H168" s="1065"/>
      <c r="I168" s="1065"/>
      <c r="J168" s="1065"/>
      <c r="K168" s="1066" t="s">
        <v>322</v>
      </c>
      <c r="L168" s="1066"/>
      <c r="M168" s="211"/>
      <c r="N168" s="1067" t="s">
        <v>406</v>
      </c>
      <c r="O168" s="1067"/>
      <c r="P168" s="1067"/>
      <c r="Q168" s="541"/>
      <c r="R168" s="541"/>
      <c r="S168" s="211"/>
      <c r="T168" s="211"/>
      <c r="U168" s="211"/>
      <c r="V168" s="519"/>
    </row>
    <row r="169" spans="2:22" ht="17.45" customHeight="1">
      <c r="B169" s="520"/>
      <c r="C169" s="1064"/>
      <c r="D169" s="1064"/>
      <c r="E169" s="1065"/>
      <c r="F169" s="1065"/>
      <c r="G169" s="1065"/>
      <c r="H169" s="1065"/>
      <c r="I169" s="1065"/>
      <c r="J169" s="1065"/>
      <c r="K169" s="1068" t="s">
        <v>324</v>
      </c>
      <c r="L169" s="1068"/>
      <c r="M169" s="212"/>
      <c r="N169" s="1069">
        <v>1</v>
      </c>
      <c r="O169" s="1069"/>
      <c r="P169" s="1069"/>
      <c r="Q169" s="542"/>
      <c r="R169" s="1068" t="s">
        <v>325</v>
      </c>
      <c r="S169" s="1068"/>
      <c r="T169" s="212"/>
      <c r="U169" s="213" t="s">
        <v>332</v>
      </c>
      <c r="V169" s="521"/>
    </row>
    <row r="170" spans="2:22" ht="17.45" customHeight="1">
      <c r="B170" s="1050" t="s">
        <v>327</v>
      </c>
      <c r="C170" s="1051"/>
      <c r="D170" s="1052" t="s">
        <v>234</v>
      </c>
      <c r="E170" s="1052"/>
      <c r="F170" s="1052"/>
      <c r="G170" s="1052"/>
      <c r="H170" s="1052"/>
      <c r="I170" s="1052"/>
      <c r="J170" s="1051" t="s">
        <v>241</v>
      </c>
      <c r="K170" s="1051"/>
      <c r="L170" s="1051" t="s">
        <v>245</v>
      </c>
      <c r="M170" s="1051"/>
      <c r="N170" s="1051"/>
      <c r="O170" s="1053" t="s">
        <v>328</v>
      </c>
      <c r="P170" s="1053"/>
      <c r="Q170" s="1053"/>
      <c r="R170" s="1053"/>
      <c r="S170" s="1052" t="s">
        <v>329</v>
      </c>
      <c r="T170" s="1052"/>
      <c r="U170" s="1052"/>
      <c r="V170" s="1054"/>
    </row>
    <row r="171" spans="2:22" ht="17.45" customHeight="1">
      <c r="B171" s="522"/>
      <c r="C171" s="264" t="s">
        <v>400</v>
      </c>
      <c r="D171" s="1055" t="s">
        <v>401</v>
      </c>
      <c r="E171" s="1055"/>
      <c r="F171" s="1055"/>
      <c r="G171" s="1055"/>
      <c r="H171" s="1055"/>
      <c r="I171" s="1055"/>
      <c r="J171" s="1060" t="s">
        <v>397</v>
      </c>
      <c r="K171" s="1060"/>
      <c r="L171" s="1056">
        <v>2.9867000000000001E-3</v>
      </c>
      <c r="M171" s="1056"/>
      <c r="N171" s="1056"/>
      <c r="O171" s="1010">
        <v>261.57</v>
      </c>
      <c r="P171" s="1010"/>
      <c r="Q171" s="1010"/>
      <c r="R171" s="1010"/>
      <c r="S171" s="1061">
        <f>L171*O171</f>
        <v>0.78123111899999997</v>
      </c>
      <c r="T171" s="1061"/>
      <c r="U171" s="1061"/>
      <c r="V171" s="1062"/>
    </row>
    <row r="172" spans="2:22" ht="17.45" customHeight="1">
      <c r="B172" s="524"/>
      <c r="C172" s="262" t="s">
        <v>336</v>
      </c>
      <c r="D172" s="1019" t="s">
        <v>337</v>
      </c>
      <c r="E172" s="1019"/>
      <c r="F172" s="1019"/>
      <c r="G172" s="1019"/>
      <c r="H172" s="1019"/>
      <c r="I172" s="1019"/>
      <c r="J172" s="1020" t="s">
        <v>335</v>
      </c>
      <c r="K172" s="1020"/>
      <c r="L172" s="1021">
        <v>2.5499999999999998E-2</v>
      </c>
      <c r="M172" s="1021"/>
      <c r="N172" s="1021"/>
      <c r="O172" s="1022">
        <v>19.28</v>
      </c>
      <c r="P172" s="1022"/>
      <c r="Q172" s="1022"/>
      <c r="R172" s="1022"/>
      <c r="S172" s="1057">
        <f>L172*O172</f>
        <v>0.49164000000000002</v>
      </c>
      <c r="T172" s="1058"/>
      <c r="U172" s="1058"/>
      <c r="V172" s="1059"/>
    </row>
    <row r="173" spans="2:22" ht="17.45" customHeight="1">
      <c r="B173" s="1023"/>
      <c r="C173" s="1024"/>
      <c r="D173" s="1024"/>
      <c r="E173" s="1024"/>
      <c r="F173" s="1024"/>
      <c r="G173" s="1024"/>
      <c r="H173" s="1024"/>
      <c r="I173" s="1025" t="s">
        <v>347</v>
      </c>
      <c r="J173" s="1025"/>
      <c r="K173" s="1025"/>
      <c r="L173" s="1025"/>
      <c r="M173" s="1025"/>
      <c r="N173" s="1025"/>
      <c r="O173" s="1025"/>
      <c r="P173" s="1025"/>
      <c r="Q173" s="1025"/>
      <c r="R173" s="1025"/>
      <c r="S173" s="1026">
        <f>SUM(S171:V172)</f>
        <v>1.2728711189999999</v>
      </c>
      <c r="T173" s="1026"/>
      <c r="U173" s="1026"/>
      <c r="V173" s="1027"/>
    </row>
    <row r="174" spans="2:22" ht="17.45" customHeight="1">
      <c r="B174" s="1028"/>
      <c r="C174" s="1029"/>
      <c r="D174" s="1029"/>
      <c r="E174" s="1029"/>
      <c r="F174" s="1029"/>
      <c r="G174" s="1029"/>
      <c r="H174" s="1029"/>
      <c r="I174" s="1029"/>
      <c r="J174" s="1029"/>
      <c r="K174" s="1029"/>
      <c r="L174" s="1029"/>
      <c r="M174" s="1029"/>
      <c r="N174" s="1029"/>
      <c r="O174" s="1029"/>
      <c r="P174" s="1029"/>
      <c r="Q174" s="1029"/>
      <c r="R174" s="1029"/>
      <c r="S174" s="1029"/>
      <c r="T174" s="1029"/>
      <c r="U174" s="1029"/>
      <c r="V174" s="1030"/>
    </row>
    <row r="175" spans="2:22" ht="17.45" customHeight="1">
      <c r="B175" s="1031"/>
      <c r="C175" s="1032"/>
      <c r="D175" s="1032"/>
      <c r="E175" s="1032"/>
      <c r="F175" s="1032"/>
      <c r="G175" s="1032"/>
      <c r="H175" s="1032"/>
      <c r="I175" s="1033" t="s">
        <v>348</v>
      </c>
      <c r="J175" s="1033"/>
      <c r="K175" s="1033"/>
      <c r="L175" s="1033"/>
      <c r="M175" s="1033"/>
      <c r="N175" s="1033"/>
      <c r="O175" s="1033"/>
      <c r="P175" s="1033"/>
      <c r="Q175" s="1033"/>
      <c r="R175" s="1033"/>
      <c r="S175" s="1012">
        <f>S173</f>
        <v>1.2728711189999999</v>
      </c>
      <c r="T175" s="1012"/>
      <c r="U175" s="1012"/>
      <c r="V175" s="1013"/>
    </row>
    <row r="176" spans="2:22" ht="17.45" customHeight="1">
      <c r="B176" s="1031"/>
      <c r="C176" s="1032"/>
      <c r="D176" s="1032"/>
      <c r="E176" s="1032"/>
      <c r="F176" s="1032"/>
      <c r="G176" s="1032"/>
      <c r="H176" s="1033" t="s">
        <v>349</v>
      </c>
      <c r="I176" s="1033"/>
      <c r="J176" s="1033"/>
      <c r="K176" s="1033"/>
      <c r="L176" s="1033"/>
      <c r="M176" s="1035">
        <v>20.7</v>
      </c>
      <c r="N176" s="1035"/>
      <c r="O176" s="1035"/>
      <c r="P176" s="1036" t="s">
        <v>350</v>
      </c>
      <c r="Q176" s="1036"/>
      <c r="R176" s="1036"/>
      <c r="S176" s="1012">
        <f>TRUNC(S175*M176%,2)</f>
        <v>0.26</v>
      </c>
      <c r="T176" s="1012"/>
      <c r="U176" s="1012"/>
      <c r="V176" s="1013"/>
    </row>
    <row r="177" spans="2:22" ht="17.45" customHeight="1">
      <c r="B177" s="1014"/>
      <c r="C177" s="1015"/>
      <c r="D177" s="1015"/>
      <c r="E177" s="1015"/>
      <c r="F177" s="1015"/>
      <c r="G177" s="1015"/>
      <c r="H177" s="1015"/>
      <c r="I177" s="1016" t="s">
        <v>351</v>
      </c>
      <c r="J177" s="1016"/>
      <c r="K177" s="1016"/>
      <c r="L177" s="1016"/>
      <c r="M177" s="1016"/>
      <c r="N177" s="1016"/>
      <c r="O177" s="1016"/>
      <c r="P177" s="1016"/>
      <c r="Q177" s="1016"/>
      <c r="R177" s="1016"/>
      <c r="S177" s="1017">
        <f>S175+S176</f>
        <v>1.5328711189999999</v>
      </c>
      <c r="T177" s="1017"/>
      <c r="U177" s="1017"/>
      <c r="V177" s="1018"/>
    </row>
    <row r="178" spans="2:22" ht="144.94999999999999" customHeight="1">
      <c r="B178" s="214"/>
      <c r="V178" s="217"/>
    </row>
    <row r="179" spans="2:22" ht="144.94999999999999" customHeight="1">
      <c r="B179" s="214"/>
      <c r="V179" s="217"/>
    </row>
    <row r="180" spans="2:22" ht="213.75" customHeight="1">
      <c r="B180" s="214"/>
      <c r="V180" s="217"/>
    </row>
    <row r="181" spans="2:22" ht="17.45" customHeight="1">
      <c r="B181" s="214"/>
      <c r="V181" s="217"/>
    </row>
    <row r="182" spans="2:22" ht="17.45" customHeight="1">
      <c r="B182" s="214"/>
      <c r="C182" s="525"/>
      <c r="D182" s="526"/>
      <c r="E182" s="526"/>
      <c r="F182" s="526"/>
      <c r="G182" s="526"/>
      <c r="H182" s="526"/>
      <c r="I182" s="526"/>
      <c r="J182" s="526"/>
      <c r="K182" s="525"/>
      <c r="L182" s="525"/>
      <c r="M182" s="525"/>
      <c r="N182" s="525"/>
      <c r="O182" s="543"/>
      <c r="P182" s="543"/>
      <c r="Q182" s="543"/>
      <c r="R182" s="543"/>
      <c r="S182" s="525"/>
      <c r="T182" s="525"/>
      <c r="U182" s="525"/>
      <c r="V182" s="217"/>
    </row>
    <row r="183" spans="2:22" ht="17.45" customHeight="1">
      <c r="B183" s="514"/>
      <c r="C183" s="1063" t="s">
        <v>320</v>
      </c>
      <c r="D183" s="1063"/>
      <c r="E183" s="1063"/>
      <c r="F183" s="515"/>
      <c r="G183" s="1042" t="str">
        <f>G167</f>
        <v>Data Base: Dez./2022 (SINAPI) e Jul./2022 (SICRO) sem desoneração</v>
      </c>
      <c r="H183" s="1042"/>
      <c r="I183" s="1042"/>
      <c r="J183" s="1042"/>
      <c r="K183" s="1042"/>
      <c r="L183" s="1042"/>
      <c r="M183" s="516"/>
      <c r="N183" s="1043" t="s">
        <v>644</v>
      </c>
      <c r="O183" s="1043"/>
      <c r="P183" s="1043"/>
      <c r="Q183" s="1043"/>
      <c r="R183" s="1043"/>
      <c r="S183" s="1043"/>
      <c r="T183" s="1043"/>
      <c r="U183" s="1043"/>
      <c r="V183" s="517"/>
    </row>
    <row r="184" spans="2:22" ht="17.45" customHeight="1">
      <c r="B184" s="518"/>
      <c r="C184" s="1064" t="s">
        <v>321</v>
      </c>
      <c r="D184" s="1064"/>
      <c r="E184" s="1065" t="s">
        <v>407</v>
      </c>
      <c r="F184" s="1065"/>
      <c r="G184" s="1065"/>
      <c r="H184" s="1065"/>
      <c r="I184" s="1065"/>
      <c r="J184" s="1065"/>
      <c r="K184" s="1066" t="s">
        <v>322</v>
      </c>
      <c r="L184" s="1066"/>
      <c r="M184" s="211"/>
      <c r="N184" s="1067" t="s">
        <v>408</v>
      </c>
      <c r="O184" s="1067"/>
      <c r="P184" s="1067"/>
      <c r="Q184" s="541"/>
      <c r="R184" s="541"/>
      <c r="S184" s="211"/>
      <c r="T184" s="211"/>
      <c r="U184" s="211"/>
      <c r="V184" s="519"/>
    </row>
    <row r="185" spans="2:22" ht="17.45" customHeight="1">
      <c r="B185" s="520"/>
      <c r="C185" s="1064"/>
      <c r="D185" s="1064"/>
      <c r="E185" s="1065"/>
      <c r="F185" s="1065"/>
      <c r="G185" s="1065"/>
      <c r="H185" s="1065"/>
      <c r="I185" s="1065"/>
      <c r="J185" s="1065"/>
      <c r="K185" s="1068" t="s">
        <v>324</v>
      </c>
      <c r="L185" s="1068"/>
      <c r="M185" s="212"/>
      <c r="N185" s="1069">
        <v>1</v>
      </c>
      <c r="O185" s="1069"/>
      <c r="P185" s="1069"/>
      <c r="Q185" s="542"/>
      <c r="R185" s="1068" t="s">
        <v>325</v>
      </c>
      <c r="S185" s="1068"/>
      <c r="T185" s="212"/>
      <c r="U185" s="213" t="s">
        <v>326</v>
      </c>
      <c r="V185" s="521"/>
    </row>
    <row r="186" spans="2:22" ht="17.45" customHeight="1">
      <c r="B186" s="1050" t="s">
        <v>327</v>
      </c>
      <c r="C186" s="1051"/>
      <c r="D186" s="1052" t="s">
        <v>234</v>
      </c>
      <c r="E186" s="1052"/>
      <c r="F186" s="1052"/>
      <c r="G186" s="1052"/>
      <c r="H186" s="1052"/>
      <c r="I186" s="1052"/>
      <c r="J186" s="1051" t="s">
        <v>241</v>
      </c>
      <c r="K186" s="1051"/>
      <c r="L186" s="1051" t="s">
        <v>245</v>
      </c>
      <c r="M186" s="1051"/>
      <c r="N186" s="1051"/>
      <c r="O186" s="1053" t="s">
        <v>328</v>
      </c>
      <c r="P186" s="1053"/>
      <c r="Q186" s="1053"/>
      <c r="R186" s="1053"/>
      <c r="S186" s="1052" t="s">
        <v>329</v>
      </c>
      <c r="T186" s="1052"/>
      <c r="U186" s="1052"/>
      <c r="V186" s="1054"/>
    </row>
    <row r="187" spans="2:22" ht="17.45" customHeight="1">
      <c r="B187" s="522"/>
      <c r="C187" s="264">
        <v>5901</v>
      </c>
      <c r="D187" s="1055" t="s">
        <v>410</v>
      </c>
      <c r="E187" s="1055"/>
      <c r="F187" s="1055"/>
      <c r="G187" s="1055"/>
      <c r="H187" s="1055"/>
      <c r="I187" s="1055"/>
      <c r="J187" s="1060" t="s">
        <v>397</v>
      </c>
      <c r="K187" s="1060"/>
      <c r="L187" s="1056">
        <v>1.6109E-3</v>
      </c>
      <c r="M187" s="1056"/>
      <c r="N187" s="1056"/>
      <c r="O187" s="1010">
        <v>307.27999999999997</v>
      </c>
      <c r="P187" s="1010"/>
      <c r="Q187" s="1010"/>
      <c r="R187" s="1010"/>
      <c r="S187" s="1061">
        <f>L187*O187</f>
        <v>0.49499735199999995</v>
      </c>
      <c r="T187" s="1061"/>
      <c r="U187" s="1061"/>
      <c r="V187" s="1062"/>
    </row>
    <row r="188" spans="2:22" ht="17.45" customHeight="1">
      <c r="B188" s="523"/>
      <c r="C188" s="263" t="s">
        <v>411</v>
      </c>
      <c r="D188" s="1037" t="s">
        <v>410</v>
      </c>
      <c r="E188" s="1037"/>
      <c r="F188" s="1037"/>
      <c r="G188" s="1037"/>
      <c r="H188" s="1037"/>
      <c r="I188" s="1037"/>
      <c r="J188" s="1038" t="s">
        <v>404</v>
      </c>
      <c r="K188" s="1038"/>
      <c r="L188" s="1039">
        <v>1.0739E-3</v>
      </c>
      <c r="M188" s="1039"/>
      <c r="N188" s="1039"/>
      <c r="O188" s="1040">
        <v>52.56</v>
      </c>
      <c r="P188" s="1040"/>
      <c r="Q188" s="1040"/>
      <c r="R188" s="1040"/>
      <c r="S188" s="1011">
        <f t="shared" ref="S188:S194" si="5">L188*O188</f>
        <v>5.6444184000000001E-2</v>
      </c>
      <c r="T188" s="1012"/>
      <c r="U188" s="1012"/>
      <c r="V188" s="1013"/>
    </row>
    <row r="189" spans="2:22" ht="17.45" customHeight="1">
      <c r="B189" s="523"/>
      <c r="C189" s="263" t="s">
        <v>395</v>
      </c>
      <c r="D189" s="1037" t="s">
        <v>396</v>
      </c>
      <c r="E189" s="1037"/>
      <c r="F189" s="1037"/>
      <c r="G189" s="1037"/>
      <c r="H189" s="1037"/>
      <c r="I189" s="1037"/>
      <c r="J189" s="1038" t="s">
        <v>397</v>
      </c>
      <c r="K189" s="1038"/>
      <c r="L189" s="1039">
        <v>1.8525E-3</v>
      </c>
      <c r="M189" s="1039"/>
      <c r="N189" s="1039"/>
      <c r="O189" s="1040">
        <v>242.42</v>
      </c>
      <c r="P189" s="1040"/>
      <c r="Q189" s="1040"/>
      <c r="R189" s="1040"/>
      <c r="S189" s="1011">
        <f t="shared" si="5"/>
        <v>0.44908304999999998</v>
      </c>
      <c r="T189" s="1012"/>
      <c r="U189" s="1012"/>
      <c r="V189" s="1013"/>
    </row>
    <row r="190" spans="2:22" ht="17.45" customHeight="1">
      <c r="B190" s="523"/>
      <c r="C190" s="263" t="s">
        <v>412</v>
      </c>
      <c r="D190" s="1037" t="s">
        <v>396</v>
      </c>
      <c r="E190" s="1037"/>
      <c r="F190" s="1037"/>
      <c r="G190" s="1037"/>
      <c r="H190" s="1037"/>
      <c r="I190" s="1037"/>
      <c r="J190" s="1038" t="s">
        <v>404</v>
      </c>
      <c r="K190" s="1038"/>
      <c r="L190" s="1039">
        <v>8.3230000000000001E-4</v>
      </c>
      <c r="M190" s="1039"/>
      <c r="N190" s="1039"/>
      <c r="O190" s="1040">
        <v>78.36</v>
      </c>
      <c r="P190" s="1040"/>
      <c r="Q190" s="1040"/>
      <c r="R190" s="1040"/>
      <c r="S190" s="1011">
        <f t="shared" si="5"/>
        <v>6.5219027999999998E-2</v>
      </c>
      <c r="T190" s="1012"/>
      <c r="U190" s="1012"/>
      <c r="V190" s="1013"/>
    </row>
    <row r="191" spans="2:22" ht="17.45" customHeight="1">
      <c r="B191" s="523"/>
      <c r="C191" s="263">
        <v>7049</v>
      </c>
      <c r="D191" s="1037" t="s">
        <v>413</v>
      </c>
      <c r="E191" s="1037"/>
      <c r="F191" s="1037"/>
      <c r="G191" s="1037"/>
      <c r="H191" s="1037"/>
      <c r="I191" s="1037"/>
      <c r="J191" s="1038" t="s">
        <v>397</v>
      </c>
      <c r="K191" s="1038"/>
      <c r="L191" s="1039">
        <v>0</v>
      </c>
      <c r="M191" s="1039"/>
      <c r="N191" s="1039"/>
      <c r="O191" s="1040">
        <v>224.45</v>
      </c>
      <c r="P191" s="1040"/>
      <c r="Q191" s="1040"/>
      <c r="R191" s="1040"/>
      <c r="S191" s="1011">
        <f t="shared" si="5"/>
        <v>0</v>
      </c>
      <c r="T191" s="1012"/>
      <c r="U191" s="1012"/>
      <c r="V191" s="1013"/>
    </row>
    <row r="192" spans="2:22" ht="17.45" customHeight="1">
      <c r="B192" s="523"/>
      <c r="C192" s="263" t="s">
        <v>336</v>
      </c>
      <c r="D192" s="1037" t="s">
        <v>337</v>
      </c>
      <c r="E192" s="1037"/>
      <c r="F192" s="1037"/>
      <c r="G192" s="1037"/>
      <c r="H192" s="1037"/>
      <c r="I192" s="1037"/>
      <c r="J192" s="1038" t="s">
        <v>335</v>
      </c>
      <c r="K192" s="1038"/>
      <c r="L192" s="1039">
        <v>1.07396E-2</v>
      </c>
      <c r="M192" s="1039"/>
      <c r="N192" s="1039"/>
      <c r="O192" s="1040">
        <v>19.28</v>
      </c>
      <c r="P192" s="1040"/>
      <c r="Q192" s="1040"/>
      <c r="R192" s="1040"/>
      <c r="S192" s="1011">
        <f t="shared" si="5"/>
        <v>0.20705948800000001</v>
      </c>
      <c r="T192" s="1012"/>
      <c r="U192" s="1012"/>
      <c r="V192" s="1013"/>
    </row>
    <row r="193" spans="2:22" ht="17.45" customHeight="1">
      <c r="B193" s="523"/>
      <c r="C193" s="263">
        <v>96028</v>
      </c>
      <c r="D193" s="1037" t="s">
        <v>414</v>
      </c>
      <c r="E193" s="1037"/>
      <c r="F193" s="1037"/>
      <c r="G193" s="1037"/>
      <c r="H193" s="1037"/>
      <c r="I193" s="1037"/>
      <c r="J193" s="1038" t="s">
        <v>397</v>
      </c>
      <c r="K193" s="1038"/>
      <c r="L193" s="1039">
        <v>1.3424000000000001E-3</v>
      </c>
      <c r="M193" s="1039"/>
      <c r="N193" s="1039"/>
      <c r="O193" s="1040">
        <v>134.55000000000001</v>
      </c>
      <c r="P193" s="1040"/>
      <c r="Q193" s="1040"/>
      <c r="R193" s="1040"/>
      <c r="S193" s="1011">
        <f t="shared" si="5"/>
        <v>0.18061992000000002</v>
      </c>
      <c r="T193" s="1012"/>
      <c r="U193" s="1012"/>
      <c r="V193" s="1013"/>
    </row>
    <row r="194" spans="2:22" ht="17.45" customHeight="1">
      <c r="B194" s="524"/>
      <c r="C194" s="262">
        <v>96029</v>
      </c>
      <c r="D194" s="1019" t="s">
        <v>414</v>
      </c>
      <c r="E194" s="1019"/>
      <c r="F194" s="1019"/>
      <c r="G194" s="1019"/>
      <c r="H194" s="1019"/>
      <c r="I194" s="1019"/>
      <c r="J194" s="1020" t="s">
        <v>404</v>
      </c>
      <c r="K194" s="1020"/>
      <c r="L194" s="1021">
        <v>1.3424000000000001E-3</v>
      </c>
      <c r="M194" s="1021"/>
      <c r="N194" s="1021"/>
      <c r="O194" s="1022">
        <v>39.92</v>
      </c>
      <c r="P194" s="1022"/>
      <c r="Q194" s="1022"/>
      <c r="R194" s="1022"/>
      <c r="S194" s="1057">
        <f t="shared" si="5"/>
        <v>5.358860800000001E-2</v>
      </c>
      <c r="T194" s="1058"/>
      <c r="U194" s="1058"/>
      <c r="V194" s="1059"/>
    </row>
    <row r="195" spans="2:22" ht="17.45" customHeight="1">
      <c r="B195" s="1023"/>
      <c r="C195" s="1024"/>
      <c r="D195" s="1024"/>
      <c r="E195" s="1024"/>
      <c r="F195" s="1024"/>
      <c r="G195" s="1024"/>
      <c r="H195" s="1024"/>
      <c r="I195" s="1025" t="s">
        <v>347</v>
      </c>
      <c r="J195" s="1025"/>
      <c r="K195" s="1025"/>
      <c r="L195" s="1025"/>
      <c r="M195" s="1025"/>
      <c r="N195" s="1025"/>
      <c r="O195" s="1025"/>
      <c r="P195" s="1025"/>
      <c r="Q195" s="1025"/>
      <c r="R195" s="1025"/>
      <c r="S195" s="1026">
        <f>SUM(S187:V194)</f>
        <v>1.50701163</v>
      </c>
      <c r="T195" s="1026"/>
      <c r="U195" s="1026"/>
      <c r="V195" s="1027"/>
    </row>
    <row r="196" spans="2:22" ht="17.45" customHeight="1">
      <c r="B196" s="1028"/>
      <c r="C196" s="1029"/>
      <c r="D196" s="1029"/>
      <c r="E196" s="1029"/>
      <c r="F196" s="1029"/>
      <c r="G196" s="1029"/>
      <c r="H196" s="1029"/>
      <c r="I196" s="1029"/>
      <c r="J196" s="1029"/>
      <c r="K196" s="1029"/>
      <c r="L196" s="1029"/>
      <c r="M196" s="1029"/>
      <c r="N196" s="1029"/>
      <c r="O196" s="1029"/>
      <c r="P196" s="1029"/>
      <c r="Q196" s="1029"/>
      <c r="R196" s="1029"/>
      <c r="S196" s="1029"/>
      <c r="T196" s="1029"/>
      <c r="U196" s="1029"/>
      <c r="V196" s="1030"/>
    </row>
    <row r="197" spans="2:22" ht="17.45" customHeight="1">
      <c r="B197" s="1031"/>
      <c r="C197" s="1032"/>
      <c r="D197" s="1032"/>
      <c r="E197" s="1032"/>
      <c r="F197" s="1032"/>
      <c r="G197" s="1032"/>
      <c r="H197" s="1032"/>
      <c r="I197" s="1033" t="s">
        <v>348</v>
      </c>
      <c r="J197" s="1033"/>
      <c r="K197" s="1033"/>
      <c r="L197" s="1033"/>
      <c r="M197" s="1033"/>
      <c r="N197" s="1033"/>
      <c r="O197" s="1033"/>
      <c r="P197" s="1033"/>
      <c r="Q197" s="1033"/>
      <c r="R197" s="1033"/>
      <c r="S197" s="1012">
        <f>S195</f>
        <v>1.50701163</v>
      </c>
      <c r="T197" s="1012"/>
      <c r="U197" s="1012"/>
      <c r="V197" s="1013"/>
    </row>
    <row r="198" spans="2:22" ht="17.45" customHeight="1">
      <c r="B198" s="1031"/>
      <c r="C198" s="1032"/>
      <c r="D198" s="1032"/>
      <c r="E198" s="1032"/>
      <c r="F198" s="1032"/>
      <c r="G198" s="1032"/>
      <c r="H198" s="1033" t="s">
        <v>349</v>
      </c>
      <c r="I198" s="1033"/>
      <c r="J198" s="1033"/>
      <c r="K198" s="1033"/>
      <c r="L198" s="1033"/>
      <c r="M198" s="1035">
        <v>20.7</v>
      </c>
      <c r="N198" s="1035"/>
      <c r="O198" s="1035"/>
      <c r="P198" s="1036" t="s">
        <v>350</v>
      </c>
      <c r="Q198" s="1036"/>
      <c r="R198" s="1036"/>
      <c r="S198" s="1012">
        <f>TRUNC(S197*M198%,2)</f>
        <v>0.31</v>
      </c>
      <c r="T198" s="1012"/>
      <c r="U198" s="1012"/>
      <c r="V198" s="1013"/>
    </row>
    <row r="199" spans="2:22" ht="17.45" customHeight="1">
      <c r="B199" s="1014"/>
      <c r="C199" s="1015"/>
      <c r="D199" s="1015"/>
      <c r="E199" s="1015"/>
      <c r="F199" s="1015"/>
      <c r="G199" s="1015"/>
      <c r="H199" s="1015"/>
      <c r="I199" s="1016" t="s">
        <v>351</v>
      </c>
      <c r="J199" s="1016"/>
      <c r="K199" s="1016"/>
      <c r="L199" s="1016"/>
      <c r="M199" s="1016"/>
      <c r="N199" s="1016"/>
      <c r="O199" s="1016"/>
      <c r="P199" s="1016"/>
      <c r="Q199" s="1016"/>
      <c r="R199" s="1016"/>
      <c r="S199" s="1017">
        <f>S197+S198</f>
        <v>1.8170116300000001</v>
      </c>
      <c r="T199" s="1017"/>
      <c r="U199" s="1017"/>
      <c r="V199" s="1018"/>
    </row>
    <row r="200" spans="2:22" ht="144.94999999999999" customHeight="1">
      <c r="B200" s="214"/>
      <c r="V200" s="217"/>
    </row>
    <row r="201" spans="2:22" ht="144.94999999999999" customHeight="1">
      <c r="B201" s="214"/>
      <c r="V201" s="217"/>
    </row>
    <row r="202" spans="2:22" ht="141" customHeight="1">
      <c r="B202" s="214"/>
      <c r="V202" s="217"/>
    </row>
    <row r="203" spans="2:22" ht="17.45" customHeight="1">
      <c r="B203" s="214"/>
      <c r="C203" s="525"/>
      <c r="D203" s="526"/>
      <c r="E203" s="526"/>
      <c r="F203" s="526"/>
      <c r="G203" s="526"/>
      <c r="H203" s="526"/>
      <c r="I203" s="526"/>
      <c r="J203" s="526"/>
      <c r="K203" s="525"/>
      <c r="L203" s="525"/>
      <c r="M203" s="525"/>
      <c r="N203" s="525"/>
      <c r="O203" s="543"/>
      <c r="P203" s="543"/>
      <c r="Q203" s="543"/>
      <c r="R203" s="543"/>
      <c r="S203" s="525"/>
      <c r="T203" s="525"/>
      <c r="U203" s="525"/>
      <c r="V203" s="217"/>
    </row>
    <row r="204" spans="2:22" ht="17.45" customHeight="1">
      <c r="B204" s="514"/>
      <c r="C204" s="1063" t="s">
        <v>320</v>
      </c>
      <c r="D204" s="1063"/>
      <c r="E204" s="1063"/>
      <c r="F204" s="515"/>
      <c r="G204" s="1042" t="str">
        <f>G183</f>
        <v>Data Base: Dez./2022 (SINAPI) e Jul./2022 (SICRO) sem desoneração</v>
      </c>
      <c r="H204" s="1042"/>
      <c r="I204" s="1042"/>
      <c r="J204" s="1042"/>
      <c r="K204" s="1042"/>
      <c r="L204" s="1042"/>
      <c r="M204" s="516"/>
      <c r="N204" s="1043" t="s">
        <v>644</v>
      </c>
      <c r="O204" s="1043"/>
      <c r="P204" s="1043"/>
      <c r="Q204" s="1043"/>
      <c r="R204" s="1043"/>
      <c r="S204" s="1043"/>
      <c r="T204" s="1043"/>
      <c r="U204" s="1043"/>
      <c r="V204" s="517"/>
    </row>
    <row r="205" spans="2:22" ht="17.45" customHeight="1">
      <c r="B205" s="518"/>
      <c r="C205" s="1064" t="s">
        <v>321</v>
      </c>
      <c r="D205" s="1064"/>
      <c r="E205" s="1065" t="s">
        <v>415</v>
      </c>
      <c r="F205" s="1065"/>
      <c r="G205" s="1065"/>
      <c r="H205" s="1065"/>
      <c r="I205" s="1065"/>
      <c r="J205" s="1065"/>
      <c r="K205" s="1066" t="s">
        <v>322</v>
      </c>
      <c r="L205" s="1066"/>
      <c r="M205" s="211"/>
      <c r="N205" s="1067" t="s">
        <v>416</v>
      </c>
      <c r="O205" s="1067"/>
      <c r="P205" s="1067"/>
      <c r="Q205" s="541"/>
      <c r="R205" s="541"/>
      <c r="S205" s="211"/>
      <c r="T205" s="211"/>
      <c r="U205" s="211"/>
      <c r="V205" s="519"/>
    </row>
    <row r="206" spans="2:22" ht="17.45" customHeight="1">
      <c r="B206" s="520"/>
      <c r="C206" s="1064"/>
      <c r="D206" s="1064"/>
      <c r="E206" s="1065"/>
      <c r="F206" s="1065"/>
      <c r="G206" s="1065"/>
      <c r="H206" s="1065"/>
      <c r="I206" s="1065"/>
      <c r="J206" s="1065"/>
      <c r="K206" s="1068" t="s">
        <v>324</v>
      </c>
      <c r="L206" s="1068"/>
      <c r="M206" s="212"/>
      <c r="N206" s="1069">
        <v>1</v>
      </c>
      <c r="O206" s="1069"/>
      <c r="P206" s="1069"/>
      <c r="Q206" s="542"/>
      <c r="R206" s="1068" t="s">
        <v>325</v>
      </c>
      <c r="S206" s="1068"/>
      <c r="T206" s="212"/>
      <c r="U206" s="213" t="s">
        <v>332</v>
      </c>
      <c r="V206" s="521"/>
    </row>
    <row r="207" spans="2:22" ht="17.45" customHeight="1">
      <c r="B207" s="1050" t="s">
        <v>327</v>
      </c>
      <c r="C207" s="1051"/>
      <c r="D207" s="1052" t="s">
        <v>234</v>
      </c>
      <c r="E207" s="1052"/>
      <c r="F207" s="1052"/>
      <c r="G207" s="1052"/>
      <c r="H207" s="1052"/>
      <c r="I207" s="1052"/>
      <c r="J207" s="1051" t="s">
        <v>241</v>
      </c>
      <c r="K207" s="1051"/>
      <c r="L207" s="1051" t="s">
        <v>245</v>
      </c>
      <c r="M207" s="1051"/>
      <c r="N207" s="1051"/>
      <c r="O207" s="1053" t="s">
        <v>328</v>
      </c>
      <c r="P207" s="1053"/>
      <c r="Q207" s="1053"/>
      <c r="R207" s="1053"/>
      <c r="S207" s="1052" t="s">
        <v>329</v>
      </c>
      <c r="T207" s="1052"/>
      <c r="U207" s="1052"/>
      <c r="V207" s="1054"/>
    </row>
    <row r="208" spans="2:22" ht="17.45" customHeight="1">
      <c r="B208" s="522"/>
      <c r="C208" s="264" t="s">
        <v>409</v>
      </c>
      <c r="D208" s="1055" t="s">
        <v>410</v>
      </c>
      <c r="E208" s="1055"/>
      <c r="F208" s="1055"/>
      <c r="G208" s="1055"/>
      <c r="H208" s="1055"/>
      <c r="I208" s="1055"/>
      <c r="J208" s="1060" t="s">
        <v>397</v>
      </c>
      <c r="K208" s="1060"/>
      <c r="L208" s="1056">
        <v>6.4000000000000003E-3</v>
      </c>
      <c r="M208" s="1056"/>
      <c r="N208" s="1056"/>
      <c r="O208" s="1010">
        <v>307.27999999999997</v>
      </c>
      <c r="P208" s="1010"/>
      <c r="Q208" s="1010"/>
      <c r="R208" s="1010"/>
      <c r="S208" s="1061">
        <f>L208*O208</f>
        <v>1.9665919999999999</v>
      </c>
      <c r="T208" s="1061"/>
      <c r="U208" s="1061"/>
      <c r="V208" s="1062"/>
    </row>
    <row r="209" spans="2:22" ht="17.45" customHeight="1">
      <c r="B209" s="523"/>
      <c r="C209" s="263" t="s">
        <v>411</v>
      </c>
      <c r="D209" s="1037" t="s">
        <v>410</v>
      </c>
      <c r="E209" s="1037"/>
      <c r="F209" s="1037"/>
      <c r="G209" s="1037"/>
      <c r="H209" s="1037"/>
      <c r="I209" s="1037"/>
      <c r="J209" s="1038" t="s">
        <v>404</v>
      </c>
      <c r="K209" s="1038"/>
      <c r="L209" s="1039">
        <v>9.4999999999999998E-3</v>
      </c>
      <c r="M209" s="1039"/>
      <c r="N209" s="1039"/>
      <c r="O209" s="1040">
        <v>52.56</v>
      </c>
      <c r="P209" s="1040"/>
      <c r="Q209" s="1040"/>
      <c r="R209" s="1040"/>
      <c r="S209" s="1011">
        <f t="shared" ref="S209:S220" si="6">L209*O209</f>
        <v>0.49931999999999999</v>
      </c>
      <c r="T209" s="1012"/>
      <c r="U209" s="1012"/>
      <c r="V209" s="1013"/>
    </row>
    <row r="210" spans="2:22" ht="17.45" customHeight="1">
      <c r="B210" s="523"/>
      <c r="C210" s="263">
        <v>5921</v>
      </c>
      <c r="D210" s="1037" t="s">
        <v>417</v>
      </c>
      <c r="E210" s="1037"/>
      <c r="F210" s="1037"/>
      <c r="G210" s="1037"/>
      <c r="H210" s="1037"/>
      <c r="I210" s="1037"/>
      <c r="J210" s="1038" t="s">
        <v>397</v>
      </c>
      <c r="K210" s="1038"/>
      <c r="L210" s="1039">
        <v>2.7000000000000001E-3</v>
      </c>
      <c r="M210" s="1039"/>
      <c r="N210" s="1039"/>
      <c r="O210" s="1040">
        <v>5.9</v>
      </c>
      <c r="P210" s="1040"/>
      <c r="Q210" s="1040"/>
      <c r="R210" s="1040"/>
      <c r="S210" s="1011">
        <f t="shared" si="6"/>
        <v>1.5930000000000003E-2</v>
      </c>
      <c r="T210" s="1012"/>
      <c r="U210" s="1012"/>
      <c r="V210" s="1013"/>
    </row>
    <row r="211" spans="2:22" ht="17.45" customHeight="1">
      <c r="B211" s="523"/>
      <c r="C211" s="263" t="s">
        <v>418</v>
      </c>
      <c r="D211" s="1037" t="s">
        <v>417</v>
      </c>
      <c r="E211" s="1037"/>
      <c r="F211" s="1037"/>
      <c r="G211" s="1037"/>
      <c r="H211" s="1037"/>
      <c r="I211" s="1037"/>
      <c r="J211" s="1038" t="s">
        <v>404</v>
      </c>
      <c r="K211" s="1038"/>
      <c r="L211" s="1039">
        <v>1.3299999999999999E-2</v>
      </c>
      <c r="M211" s="1039"/>
      <c r="N211" s="1039"/>
      <c r="O211" s="1040">
        <v>3.67</v>
      </c>
      <c r="P211" s="1040"/>
      <c r="Q211" s="1040"/>
      <c r="R211" s="1040"/>
      <c r="S211" s="1011">
        <f t="shared" si="6"/>
        <v>4.8810999999999993E-2</v>
      </c>
      <c r="T211" s="1012"/>
      <c r="U211" s="1012"/>
      <c r="V211" s="1013"/>
    </row>
    <row r="212" spans="2:22" ht="17.45" customHeight="1">
      <c r="B212" s="523"/>
      <c r="C212" s="263" t="s">
        <v>395</v>
      </c>
      <c r="D212" s="1037" t="s">
        <v>396</v>
      </c>
      <c r="E212" s="1037"/>
      <c r="F212" s="1037"/>
      <c r="G212" s="1037"/>
      <c r="H212" s="1037"/>
      <c r="I212" s="1037"/>
      <c r="J212" s="1038" t="s">
        <v>397</v>
      </c>
      <c r="K212" s="1038"/>
      <c r="L212" s="1039">
        <v>7.7000000000000002E-3</v>
      </c>
      <c r="M212" s="1039"/>
      <c r="N212" s="1039"/>
      <c r="O212" s="1040">
        <v>242.42</v>
      </c>
      <c r="P212" s="1040"/>
      <c r="Q212" s="1040"/>
      <c r="R212" s="1040"/>
      <c r="S212" s="1011">
        <f t="shared" si="6"/>
        <v>1.8666339999999999</v>
      </c>
      <c r="T212" s="1012"/>
      <c r="U212" s="1012"/>
      <c r="V212" s="1013"/>
    </row>
    <row r="213" spans="2:22" ht="17.45" customHeight="1">
      <c r="B213" s="523"/>
      <c r="C213" s="263" t="s">
        <v>412</v>
      </c>
      <c r="D213" s="1037" t="s">
        <v>396</v>
      </c>
      <c r="E213" s="1037"/>
      <c r="F213" s="1037"/>
      <c r="G213" s="1037"/>
      <c r="H213" s="1037"/>
      <c r="I213" s="1037"/>
      <c r="J213" s="1038" t="s">
        <v>404</v>
      </c>
      <c r="K213" s="1038"/>
      <c r="L213" s="1039">
        <v>8.3000000000000001E-3</v>
      </c>
      <c r="M213" s="1039"/>
      <c r="N213" s="1039"/>
      <c r="O213" s="1040">
        <v>78.36</v>
      </c>
      <c r="P213" s="1040"/>
      <c r="Q213" s="1040"/>
      <c r="R213" s="1040"/>
      <c r="S213" s="1011">
        <f t="shared" si="6"/>
        <v>0.65038799999999997</v>
      </c>
      <c r="T213" s="1012"/>
      <c r="U213" s="1012"/>
      <c r="V213" s="1013"/>
    </row>
    <row r="214" spans="2:22" ht="17.45" customHeight="1">
      <c r="B214" s="523"/>
      <c r="C214" s="263" t="s">
        <v>419</v>
      </c>
      <c r="D214" s="1037" t="s">
        <v>420</v>
      </c>
      <c r="E214" s="1037"/>
      <c r="F214" s="1037"/>
      <c r="G214" s="1037"/>
      <c r="H214" s="1037"/>
      <c r="I214" s="1037"/>
      <c r="J214" s="1038" t="s">
        <v>397</v>
      </c>
      <c r="K214" s="1038"/>
      <c r="L214" s="1039">
        <v>7.4000000000000003E-3</v>
      </c>
      <c r="M214" s="1039"/>
      <c r="N214" s="1039"/>
      <c r="O214" s="1040">
        <v>198.93</v>
      </c>
      <c r="P214" s="1040"/>
      <c r="Q214" s="1040"/>
      <c r="R214" s="1040"/>
      <c r="S214" s="1011">
        <f t="shared" si="6"/>
        <v>1.4720820000000001</v>
      </c>
      <c r="T214" s="1012"/>
      <c r="U214" s="1012"/>
      <c r="V214" s="1013"/>
    </row>
    <row r="215" spans="2:22" ht="17.45" customHeight="1">
      <c r="B215" s="523"/>
      <c r="C215" s="263" t="s">
        <v>336</v>
      </c>
      <c r="D215" s="1037" t="s">
        <v>337</v>
      </c>
      <c r="E215" s="1037"/>
      <c r="F215" s="1037"/>
      <c r="G215" s="1037"/>
      <c r="H215" s="1037"/>
      <c r="I215" s="1037"/>
      <c r="J215" s="1038" t="s">
        <v>335</v>
      </c>
      <c r="K215" s="1038"/>
      <c r="L215" s="1039">
        <v>5.5800000000000002E-2</v>
      </c>
      <c r="M215" s="1039"/>
      <c r="N215" s="1039"/>
      <c r="O215" s="1040">
        <v>19.28</v>
      </c>
      <c r="P215" s="1040"/>
      <c r="Q215" s="1040"/>
      <c r="R215" s="1040"/>
      <c r="S215" s="1011">
        <f t="shared" si="6"/>
        <v>1.0758240000000001</v>
      </c>
      <c r="T215" s="1012"/>
      <c r="U215" s="1012"/>
      <c r="V215" s="1013"/>
    </row>
    <row r="216" spans="2:22" ht="17.45" customHeight="1">
      <c r="B216" s="523"/>
      <c r="C216" s="263" t="s">
        <v>421</v>
      </c>
      <c r="D216" s="1037" t="s">
        <v>422</v>
      </c>
      <c r="E216" s="1037"/>
      <c r="F216" s="1037"/>
      <c r="G216" s="1037"/>
      <c r="H216" s="1037"/>
      <c r="I216" s="1037"/>
      <c r="J216" s="1038" t="s">
        <v>397</v>
      </c>
      <c r="K216" s="1038"/>
      <c r="L216" s="1039">
        <v>2.7000000000000001E-3</v>
      </c>
      <c r="M216" s="1039"/>
      <c r="N216" s="1039"/>
      <c r="O216" s="1040">
        <v>125.04</v>
      </c>
      <c r="P216" s="1040"/>
      <c r="Q216" s="1040"/>
      <c r="R216" s="1040"/>
      <c r="S216" s="1011">
        <f t="shared" si="6"/>
        <v>0.33760800000000002</v>
      </c>
      <c r="T216" s="1012"/>
      <c r="U216" s="1012"/>
      <c r="V216" s="1013"/>
    </row>
    <row r="217" spans="2:22" ht="17.45" customHeight="1">
      <c r="B217" s="523"/>
      <c r="C217" s="263" t="s">
        <v>423</v>
      </c>
      <c r="D217" s="1037" t="s">
        <v>422</v>
      </c>
      <c r="E217" s="1037"/>
      <c r="F217" s="1037"/>
      <c r="G217" s="1037"/>
      <c r="H217" s="1037"/>
      <c r="I217" s="1037"/>
      <c r="J217" s="1038" t="s">
        <v>404</v>
      </c>
      <c r="K217" s="1038"/>
      <c r="L217" s="1039">
        <v>1.3299999999999999E-2</v>
      </c>
      <c r="M217" s="1039"/>
      <c r="N217" s="1039"/>
      <c r="O217" s="1040">
        <v>35.07</v>
      </c>
      <c r="P217" s="1040"/>
      <c r="Q217" s="1040"/>
      <c r="R217" s="1040"/>
      <c r="S217" s="1011">
        <f t="shared" si="6"/>
        <v>0.46643099999999998</v>
      </c>
      <c r="T217" s="1012"/>
      <c r="U217" s="1012"/>
      <c r="V217" s="1013"/>
    </row>
    <row r="218" spans="2:22" ht="17.45" customHeight="1">
      <c r="B218" s="523"/>
      <c r="C218" s="263">
        <v>93244</v>
      </c>
      <c r="D218" s="1037" t="s">
        <v>420</v>
      </c>
      <c r="E218" s="1037"/>
      <c r="F218" s="1037"/>
      <c r="G218" s="1037"/>
      <c r="H218" s="1037"/>
      <c r="I218" s="1037"/>
      <c r="J218" s="1038" t="s">
        <v>404</v>
      </c>
      <c r="K218" s="1038"/>
      <c r="L218" s="1039">
        <v>8.6E-3</v>
      </c>
      <c r="M218" s="1039"/>
      <c r="N218" s="1039"/>
      <c r="O218" s="1040">
        <v>56.95</v>
      </c>
      <c r="P218" s="1040"/>
      <c r="Q218" s="1040"/>
      <c r="R218" s="1040"/>
      <c r="S218" s="1011">
        <f t="shared" si="6"/>
        <v>0.48977000000000004</v>
      </c>
      <c r="T218" s="1012"/>
      <c r="U218" s="1012"/>
      <c r="V218" s="1013"/>
    </row>
    <row r="219" spans="2:22" ht="17.45" customHeight="1">
      <c r="B219" s="523"/>
      <c r="C219" s="263" t="s">
        <v>425</v>
      </c>
      <c r="D219" s="1037" t="s">
        <v>426</v>
      </c>
      <c r="E219" s="1037"/>
      <c r="F219" s="1037"/>
      <c r="G219" s="1037"/>
      <c r="H219" s="1037"/>
      <c r="I219" s="1037"/>
      <c r="J219" s="1038" t="s">
        <v>397</v>
      </c>
      <c r="K219" s="1038"/>
      <c r="L219" s="1039">
        <v>1E-3</v>
      </c>
      <c r="M219" s="1039"/>
      <c r="N219" s="1039"/>
      <c r="O219" s="1040">
        <v>217.73</v>
      </c>
      <c r="P219" s="1040"/>
      <c r="Q219" s="1040"/>
      <c r="R219" s="1040"/>
      <c r="S219" s="1011">
        <f t="shared" si="6"/>
        <v>0.21773000000000001</v>
      </c>
      <c r="T219" s="1012"/>
      <c r="U219" s="1012"/>
      <c r="V219" s="1013"/>
    </row>
    <row r="220" spans="2:22" ht="17.45" customHeight="1">
      <c r="B220" s="524"/>
      <c r="C220" s="262" t="s">
        <v>427</v>
      </c>
      <c r="D220" s="1019" t="s">
        <v>426</v>
      </c>
      <c r="E220" s="1019"/>
      <c r="F220" s="1019"/>
      <c r="G220" s="1019"/>
      <c r="H220" s="1019"/>
      <c r="I220" s="1019"/>
      <c r="J220" s="1020" t="s">
        <v>404</v>
      </c>
      <c r="K220" s="1020"/>
      <c r="L220" s="1021">
        <v>1.4999999999999999E-2</v>
      </c>
      <c r="M220" s="1021"/>
      <c r="N220" s="1021"/>
      <c r="O220" s="1022">
        <v>79.92</v>
      </c>
      <c r="P220" s="1022"/>
      <c r="Q220" s="1022"/>
      <c r="R220" s="1022"/>
      <c r="S220" s="1057">
        <f t="shared" si="6"/>
        <v>1.1988000000000001</v>
      </c>
      <c r="T220" s="1058"/>
      <c r="U220" s="1058"/>
      <c r="V220" s="1059"/>
    </row>
    <row r="221" spans="2:22" ht="17.45" customHeight="1">
      <c r="B221" s="1023"/>
      <c r="C221" s="1024"/>
      <c r="D221" s="1024"/>
      <c r="E221" s="1024"/>
      <c r="F221" s="1024"/>
      <c r="G221" s="1024"/>
      <c r="H221" s="1024"/>
      <c r="I221" s="1025" t="s">
        <v>347</v>
      </c>
      <c r="J221" s="1025"/>
      <c r="K221" s="1025"/>
      <c r="L221" s="1025"/>
      <c r="M221" s="1025"/>
      <c r="N221" s="1025"/>
      <c r="O221" s="1025"/>
      <c r="P221" s="1025"/>
      <c r="Q221" s="1025"/>
      <c r="R221" s="1025"/>
      <c r="S221" s="1026">
        <f>SUM(S208:V220)</f>
        <v>10.30592</v>
      </c>
      <c r="T221" s="1026"/>
      <c r="U221" s="1026"/>
      <c r="V221" s="1027"/>
    </row>
    <row r="222" spans="2:22" ht="17.45" customHeight="1">
      <c r="B222" s="1028"/>
      <c r="C222" s="1029"/>
      <c r="D222" s="1029"/>
      <c r="E222" s="1029"/>
      <c r="F222" s="1029"/>
      <c r="G222" s="1029"/>
      <c r="H222" s="1029"/>
      <c r="I222" s="1029"/>
      <c r="J222" s="1029"/>
      <c r="K222" s="1029"/>
      <c r="L222" s="1029"/>
      <c r="M222" s="1029"/>
      <c r="N222" s="1029"/>
      <c r="O222" s="1029"/>
      <c r="P222" s="1029"/>
      <c r="Q222" s="1029"/>
      <c r="R222" s="1029"/>
      <c r="S222" s="1029"/>
      <c r="T222" s="1029"/>
      <c r="U222" s="1029"/>
      <c r="V222" s="1030"/>
    </row>
    <row r="223" spans="2:22" ht="17.45" customHeight="1">
      <c r="B223" s="1031"/>
      <c r="C223" s="1032"/>
      <c r="D223" s="1032"/>
      <c r="E223" s="1032"/>
      <c r="F223" s="1032"/>
      <c r="G223" s="1032"/>
      <c r="H223" s="1032"/>
      <c r="I223" s="1033" t="s">
        <v>348</v>
      </c>
      <c r="J223" s="1033"/>
      <c r="K223" s="1033"/>
      <c r="L223" s="1033"/>
      <c r="M223" s="1033"/>
      <c r="N223" s="1033"/>
      <c r="O223" s="1033"/>
      <c r="P223" s="1033"/>
      <c r="Q223" s="1033"/>
      <c r="R223" s="1033"/>
      <c r="S223" s="1012">
        <f>S221</f>
        <v>10.30592</v>
      </c>
      <c r="T223" s="1012"/>
      <c r="U223" s="1012"/>
      <c r="V223" s="1013"/>
    </row>
    <row r="224" spans="2:22" ht="17.45" customHeight="1">
      <c r="B224" s="1031"/>
      <c r="C224" s="1032"/>
      <c r="D224" s="1032"/>
      <c r="E224" s="1032"/>
      <c r="F224" s="1032"/>
      <c r="G224" s="1032"/>
      <c r="H224" s="1033" t="s">
        <v>349</v>
      </c>
      <c r="I224" s="1033"/>
      <c r="J224" s="1033"/>
      <c r="K224" s="1033"/>
      <c r="L224" s="1033"/>
      <c r="M224" s="1035">
        <v>20.7</v>
      </c>
      <c r="N224" s="1035"/>
      <c r="O224" s="1035"/>
      <c r="P224" s="1036" t="s">
        <v>350</v>
      </c>
      <c r="Q224" s="1036"/>
      <c r="R224" s="1036"/>
      <c r="S224" s="1012">
        <f>TRUNC(S223*M224%,2)</f>
        <v>2.13</v>
      </c>
      <c r="T224" s="1012"/>
      <c r="U224" s="1012"/>
      <c r="V224" s="1013"/>
    </row>
    <row r="225" spans="2:22" ht="17.45" customHeight="1">
      <c r="B225" s="1014"/>
      <c r="C225" s="1015"/>
      <c r="D225" s="1015"/>
      <c r="E225" s="1015"/>
      <c r="F225" s="1015"/>
      <c r="G225" s="1015"/>
      <c r="H225" s="1015"/>
      <c r="I225" s="1016" t="s">
        <v>351</v>
      </c>
      <c r="J225" s="1016"/>
      <c r="K225" s="1016"/>
      <c r="L225" s="1016"/>
      <c r="M225" s="1016"/>
      <c r="N225" s="1016"/>
      <c r="O225" s="1016"/>
      <c r="P225" s="1016"/>
      <c r="Q225" s="1016"/>
      <c r="R225" s="1016"/>
      <c r="S225" s="1017">
        <f>S223+S224</f>
        <v>12.435919999999999</v>
      </c>
      <c r="T225" s="1017"/>
      <c r="U225" s="1017"/>
      <c r="V225" s="1018"/>
    </row>
    <row r="226" spans="2:22" ht="64.5" customHeight="1">
      <c r="B226" s="214"/>
      <c r="V226" s="217"/>
    </row>
    <row r="227" spans="2:22" ht="143.25" customHeight="1">
      <c r="B227" s="214"/>
      <c r="V227" s="217"/>
    </row>
    <row r="228" spans="2:22" ht="144.94999999999999" customHeight="1">
      <c r="B228" s="214"/>
      <c r="C228" s="525"/>
      <c r="D228" s="526"/>
      <c r="E228" s="526"/>
      <c r="F228" s="526"/>
      <c r="G228" s="526"/>
      <c r="H228" s="526"/>
      <c r="I228" s="526"/>
      <c r="J228" s="526"/>
      <c r="K228" s="525"/>
      <c r="L228" s="525"/>
      <c r="M228" s="525"/>
      <c r="N228" s="525"/>
      <c r="O228" s="543"/>
      <c r="P228" s="543"/>
      <c r="Q228" s="543"/>
      <c r="R228" s="543"/>
      <c r="S228" s="525"/>
      <c r="T228" s="525"/>
      <c r="U228" s="525"/>
      <c r="V228" s="217"/>
    </row>
    <row r="229" spans="2:22" ht="17.45" customHeight="1">
      <c r="B229" s="514"/>
      <c r="C229" s="1063" t="s">
        <v>320</v>
      </c>
      <c r="D229" s="1063"/>
      <c r="E229" s="1063"/>
      <c r="F229" s="515"/>
      <c r="G229" s="1042" t="str">
        <f>G204</f>
        <v>Data Base: Dez./2022 (SINAPI) e Jul./2022 (SICRO) sem desoneração</v>
      </c>
      <c r="H229" s="1042"/>
      <c r="I229" s="1042"/>
      <c r="J229" s="1042"/>
      <c r="K229" s="1042"/>
      <c r="L229" s="1042"/>
      <c r="M229" s="516"/>
      <c r="N229" s="1043" t="s">
        <v>644</v>
      </c>
      <c r="O229" s="1043"/>
      <c r="P229" s="1043"/>
      <c r="Q229" s="1043"/>
      <c r="R229" s="1043"/>
      <c r="S229" s="1043"/>
      <c r="T229" s="1043"/>
      <c r="U229" s="1043"/>
      <c r="V229" s="517"/>
    </row>
    <row r="230" spans="2:22" ht="17.45" customHeight="1">
      <c r="B230" s="518"/>
      <c r="C230" s="1064" t="s">
        <v>321</v>
      </c>
      <c r="D230" s="1064"/>
      <c r="E230" s="1065" t="s">
        <v>511</v>
      </c>
      <c r="F230" s="1065"/>
      <c r="G230" s="1065"/>
      <c r="H230" s="1065"/>
      <c r="I230" s="1065"/>
      <c r="J230" s="1065"/>
      <c r="K230" s="1066" t="s">
        <v>322</v>
      </c>
      <c r="L230" s="1066"/>
      <c r="M230" s="211"/>
      <c r="N230" s="1067" t="s">
        <v>510</v>
      </c>
      <c r="O230" s="1067"/>
      <c r="P230" s="1067"/>
      <c r="Q230" s="541"/>
      <c r="R230" s="541"/>
      <c r="S230" s="211"/>
      <c r="T230" s="211"/>
      <c r="U230" s="211"/>
      <c r="V230" s="519"/>
    </row>
    <row r="231" spans="2:22" ht="17.45" customHeight="1">
      <c r="B231" s="520"/>
      <c r="C231" s="1064"/>
      <c r="D231" s="1064"/>
      <c r="E231" s="1065"/>
      <c r="F231" s="1065"/>
      <c r="G231" s="1065"/>
      <c r="H231" s="1065"/>
      <c r="I231" s="1065"/>
      <c r="J231" s="1065"/>
      <c r="K231" s="1068" t="s">
        <v>324</v>
      </c>
      <c r="L231" s="1068"/>
      <c r="M231" s="212"/>
      <c r="N231" s="1069">
        <v>1</v>
      </c>
      <c r="O231" s="1069"/>
      <c r="P231" s="1069"/>
      <c r="Q231" s="542"/>
      <c r="R231" s="1068" t="s">
        <v>325</v>
      </c>
      <c r="S231" s="1068"/>
      <c r="T231" s="212"/>
      <c r="U231" s="213" t="s">
        <v>332</v>
      </c>
      <c r="V231" s="521"/>
    </row>
    <row r="232" spans="2:22" ht="17.45" customHeight="1">
      <c r="B232" s="1050" t="s">
        <v>327</v>
      </c>
      <c r="C232" s="1051"/>
      <c r="D232" s="1052" t="s">
        <v>234</v>
      </c>
      <c r="E232" s="1052"/>
      <c r="F232" s="1052"/>
      <c r="G232" s="1052"/>
      <c r="H232" s="1052"/>
      <c r="I232" s="1052"/>
      <c r="J232" s="1051" t="s">
        <v>241</v>
      </c>
      <c r="K232" s="1051"/>
      <c r="L232" s="1051" t="s">
        <v>245</v>
      </c>
      <c r="M232" s="1051"/>
      <c r="N232" s="1051"/>
      <c r="O232" s="1053" t="s">
        <v>328</v>
      </c>
      <c r="P232" s="1053"/>
      <c r="Q232" s="1053"/>
      <c r="R232" s="1053"/>
      <c r="S232" s="1052" t="s">
        <v>329</v>
      </c>
      <c r="T232" s="1052"/>
      <c r="U232" s="1052"/>
      <c r="V232" s="1054"/>
    </row>
    <row r="233" spans="2:22" ht="17.45" customHeight="1">
      <c r="B233" s="522"/>
      <c r="C233" s="264" t="s">
        <v>409</v>
      </c>
      <c r="D233" s="1055" t="s">
        <v>410</v>
      </c>
      <c r="E233" s="1055"/>
      <c r="F233" s="1055"/>
      <c r="G233" s="1055"/>
      <c r="H233" s="1055"/>
      <c r="I233" s="1055"/>
      <c r="J233" s="1060" t="s">
        <v>397</v>
      </c>
      <c r="K233" s="1060"/>
      <c r="L233" s="1056">
        <v>6.4000000000000003E-3</v>
      </c>
      <c r="M233" s="1056"/>
      <c r="N233" s="1056"/>
      <c r="O233" s="1010">
        <v>307.27999999999997</v>
      </c>
      <c r="P233" s="1010"/>
      <c r="Q233" s="1010"/>
      <c r="R233" s="1010"/>
      <c r="S233" s="1061">
        <f>L233*O233</f>
        <v>1.9665919999999999</v>
      </c>
      <c r="T233" s="1061"/>
      <c r="U233" s="1061"/>
      <c r="V233" s="1062"/>
    </row>
    <row r="234" spans="2:22" ht="17.45" customHeight="1">
      <c r="B234" s="523"/>
      <c r="C234" s="263" t="s">
        <v>411</v>
      </c>
      <c r="D234" s="1037" t="s">
        <v>410</v>
      </c>
      <c r="E234" s="1037"/>
      <c r="F234" s="1037"/>
      <c r="G234" s="1037"/>
      <c r="H234" s="1037"/>
      <c r="I234" s="1037"/>
      <c r="J234" s="1038" t="s">
        <v>404</v>
      </c>
      <c r="K234" s="1038"/>
      <c r="L234" s="1039">
        <v>9.4999999999999998E-3</v>
      </c>
      <c r="M234" s="1039"/>
      <c r="N234" s="1039"/>
      <c r="O234" s="1040">
        <v>52.56</v>
      </c>
      <c r="P234" s="1040"/>
      <c r="Q234" s="1040"/>
      <c r="R234" s="1040"/>
      <c r="S234" s="1011">
        <f t="shared" ref="S234:S245" si="7">L234*O234</f>
        <v>0.49931999999999999</v>
      </c>
      <c r="T234" s="1012"/>
      <c r="U234" s="1012"/>
      <c r="V234" s="1013"/>
    </row>
    <row r="235" spans="2:22" ht="17.45" customHeight="1">
      <c r="B235" s="523"/>
      <c r="C235" s="263">
        <v>5921</v>
      </c>
      <c r="D235" s="1037" t="s">
        <v>417</v>
      </c>
      <c r="E235" s="1037"/>
      <c r="F235" s="1037"/>
      <c r="G235" s="1037"/>
      <c r="H235" s="1037"/>
      <c r="I235" s="1037"/>
      <c r="J235" s="1038" t="s">
        <v>397</v>
      </c>
      <c r="K235" s="1038"/>
      <c r="L235" s="1039">
        <v>2.7000000000000001E-3</v>
      </c>
      <c r="M235" s="1039"/>
      <c r="N235" s="1039"/>
      <c r="O235" s="1040">
        <v>5.9</v>
      </c>
      <c r="P235" s="1040"/>
      <c r="Q235" s="1040"/>
      <c r="R235" s="1040"/>
      <c r="S235" s="1011">
        <f t="shared" si="7"/>
        <v>1.5930000000000003E-2</v>
      </c>
      <c r="T235" s="1012"/>
      <c r="U235" s="1012"/>
      <c r="V235" s="1013"/>
    </row>
    <row r="236" spans="2:22" ht="17.45" customHeight="1">
      <c r="B236" s="523"/>
      <c r="C236" s="263" t="s">
        <v>418</v>
      </c>
      <c r="D236" s="1037" t="s">
        <v>417</v>
      </c>
      <c r="E236" s="1037"/>
      <c r="F236" s="1037"/>
      <c r="G236" s="1037"/>
      <c r="H236" s="1037"/>
      <c r="I236" s="1037"/>
      <c r="J236" s="1038" t="s">
        <v>404</v>
      </c>
      <c r="K236" s="1038"/>
      <c r="L236" s="1039">
        <v>1.3299999999999999E-2</v>
      </c>
      <c r="M236" s="1039"/>
      <c r="N236" s="1039"/>
      <c r="O236" s="1040">
        <v>3.67</v>
      </c>
      <c r="P236" s="1040"/>
      <c r="Q236" s="1040"/>
      <c r="R236" s="1040"/>
      <c r="S236" s="1011">
        <f t="shared" si="7"/>
        <v>4.8810999999999993E-2</v>
      </c>
      <c r="T236" s="1012"/>
      <c r="U236" s="1012"/>
      <c r="V236" s="1013"/>
    </row>
    <row r="237" spans="2:22" ht="17.45" customHeight="1">
      <c r="B237" s="523"/>
      <c r="C237" s="263" t="s">
        <v>395</v>
      </c>
      <c r="D237" s="1037" t="s">
        <v>396</v>
      </c>
      <c r="E237" s="1037"/>
      <c r="F237" s="1037"/>
      <c r="G237" s="1037"/>
      <c r="H237" s="1037"/>
      <c r="I237" s="1037"/>
      <c r="J237" s="1038" t="s">
        <v>397</v>
      </c>
      <c r="K237" s="1038"/>
      <c r="L237" s="1039">
        <v>7.7000000000000002E-3</v>
      </c>
      <c r="M237" s="1039"/>
      <c r="N237" s="1039"/>
      <c r="O237" s="1040">
        <v>242.42</v>
      </c>
      <c r="P237" s="1040"/>
      <c r="Q237" s="1040"/>
      <c r="R237" s="1040"/>
      <c r="S237" s="1011">
        <f t="shared" si="7"/>
        <v>1.8666339999999999</v>
      </c>
      <c r="T237" s="1012"/>
      <c r="U237" s="1012"/>
      <c r="V237" s="1013"/>
    </row>
    <row r="238" spans="2:22" ht="17.45" customHeight="1">
      <c r="B238" s="523"/>
      <c r="C238" s="263" t="s">
        <v>412</v>
      </c>
      <c r="D238" s="1037" t="s">
        <v>396</v>
      </c>
      <c r="E238" s="1037"/>
      <c r="F238" s="1037"/>
      <c r="G238" s="1037"/>
      <c r="H238" s="1037"/>
      <c r="I238" s="1037"/>
      <c r="J238" s="1038" t="s">
        <v>404</v>
      </c>
      <c r="K238" s="1038"/>
      <c r="L238" s="1039">
        <v>8.3000000000000001E-3</v>
      </c>
      <c r="M238" s="1039"/>
      <c r="N238" s="1039"/>
      <c r="O238" s="1040">
        <v>78.36</v>
      </c>
      <c r="P238" s="1040"/>
      <c r="Q238" s="1040"/>
      <c r="R238" s="1040"/>
      <c r="S238" s="1011">
        <f t="shared" si="7"/>
        <v>0.65038799999999997</v>
      </c>
      <c r="T238" s="1012"/>
      <c r="U238" s="1012"/>
      <c r="V238" s="1013"/>
    </row>
    <row r="239" spans="2:22" ht="17.45" customHeight="1">
      <c r="B239" s="523"/>
      <c r="C239" s="263" t="s">
        <v>419</v>
      </c>
      <c r="D239" s="1037" t="s">
        <v>420</v>
      </c>
      <c r="E239" s="1037"/>
      <c r="F239" s="1037"/>
      <c r="G239" s="1037"/>
      <c r="H239" s="1037"/>
      <c r="I239" s="1037"/>
      <c r="J239" s="1038" t="s">
        <v>397</v>
      </c>
      <c r="K239" s="1038"/>
      <c r="L239" s="1039">
        <v>7.4000000000000003E-3</v>
      </c>
      <c r="M239" s="1039"/>
      <c r="N239" s="1039"/>
      <c r="O239" s="1040">
        <v>198.93</v>
      </c>
      <c r="P239" s="1040"/>
      <c r="Q239" s="1040"/>
      <c r="R239" s="1040"/>
      <c r="S239" s="1011">
        <f t="shared" si="7"/>
        <v>1.4720820000000001</v>
      </c>
      <c r="T239" s="1012"/>
      <c r="U239" s="1012"/>
      <c r="V239" s="1013"/>
    </row>
    <row r="240" spans="2:22" ht="17.45" customHeight="1">
      <c r="B240" s="523"/>
      <c r="C240" s="263" t="s">
        <v>336</v>
      </c>
      <c r="D240" s="1037" t="s">
        <v>337</v>
      </c>
      <c r="E240" s="1037"/>
      <c r="F240" s="1037"/>
      <c r="G240" s="1037"/>
      <c r="H240" s="1037"/>
      <c r="I240" s="1037"/>
      <c r="J240" s="1038" t="s">
        <v>335</v>
      </c>
      <c r="K240" s="1038"/>
      <c r="L240" s="1039">
        <v>5.5800000000000002E-2</v>
      </c>
      <c r="M240" s="1039"/>
      <c r="N240" s="1039"/>
      <c r="O240" s="1040">
        <v>19.28</v>
      </c>
      <c r="P240" s="1040"/>
      <c r="Q240" s="1040"/>
      <c r="R240" s="1040"/>
      <c r="S240" s="1011">
        <f t="shared" si="7"/>
        <v>1.0758240000000001</v>
      </c>
      <c r="T240" s="1012"/>
      <c r="U240" s="1012"/>
      <c r="V240" s="1013"/>
    </row>
    <row r="241" spans="2:22" ht="17.45" customHeight="1">
      <c r="B241" s="523"/>
      <c r="C241" s="263" t="s">
        <v>421</v>
      </c>
      <c r="D241" s="1037" t="s">
        <v>422</v>
      </c>
      <c r="E241" s="1037"/>
      <c r="F241" s="1037"/>
      <c r="G241" s="1037"/>
      <c r="H241" s="1037"/>
      <c r="I241" s="1037"/>
      <c r="J241" s="1038" t="s">
        <v>397</v>
      </c>
      <c r="K241" s="1038"/>
      <c r="L241" s="1039">
        <v>2.7000000000000001E-3</v>
      </c>
      <c r="M241" s="1039"/>
      <c r="N241" s="1039"/>
      <c r="O241" s="1040">
        <v>125.04</v>
      </c>
      <c r="P241" s="1040"/>
      <c r="Q241" s="1040"/>
      <c r="R241" s="1040"/>
      <c r="S241" s="1011">
        <f t="shared" si="7"/>
        <v>0.33760800000000002</v>
      </c>
      <c r="T241" s="1012"/>
      <c r="U241" s="1012"/>
      <c r="V241" s="1013"/>
    </row>
    <row r="242" spans="2:22" ht="17.45" customHeight="1">
      <c r="B242" s="523"/>
      <c r="C242" s="263" t="s">
        <v>423</v>
      </c>
      <c r="D242" s="1037" t="s">
        <v>422</v>
      </c>
      <c r="E242" s="1037"/>
      <c r="F242" s="1037"/>
      <c r="G242" s="1037"/>
      <c r="H242" s="1037"/>
      <c r="I242" s="1037"/>
      <c r="J242" s="1038" t="s">
        <v>404</v>
      </c>
      <c r="K242" s="1038"/>
      <c r="L242" s="1039">
        <v>1.3299999999999999E-2</v>
      </c>
      <c r="M242" s="1039"/>
      <c r="N242" s="1039"/>
      <c r="O242" s="1040">
        <v>35.07</v>
      </c>
      <c r="P242" s="1040"/>
      <c r="Q242" s="1040"/>
      <c r="R242" s="1040"/>
      <c r="S242" s="1011">
        <f t="shared" si="7"/>
        <v>0.46643099999999998</v>
      </c>
      <c r="T242" s="1012"/>
      <c r="U242" s="1012"/>
      <c r="V242" s="1013"/>
    </row>
    <row r="243" spans="2:22" ht="17.45" customHeight="1">
      <c r="B243" s="523"/>
      <c r="C243" s="263" t="s">
        <v>424</v>
      </c>
      <c r="D243" s="1037" t="s">
        <v>420</v>
      </c>
      <c r="E243" s="1037"/>
      <c r="F243" s="1037"/>
      <c r="G243" s="1037"/>
      <c r="H243" s="1037"/>
      <c r="I243" s="1037"/>
      <c r="J243" s="1038" t="s">
        <v>404</v>
      </c>
      <c r="K243" s="1038"/>
      <c r="L243" s="1039">
        <v>8.6E-3</v>
      </c>
      <c r="M243" s="1039"/>
      <c r="N243" s="1039"/>
      <c r="O243" s="1040">
        <v>56.95</v>
      </c>
      <c r="P243" s="1040"/>
      <c r="Q243" s="1040"/>
      <c r="R243" s="1040"/>
      <c r="S243" s="1011">
        <f t="shared" si="7"/>
        <v>0.48977000000000004</v>
      </c>
      <c r="T243" s="1012"/>
      <c r="U243" s="1012"/>
      <c r="V243" s="1013"/>
    </row>
    <row r="244" spans="2:22" ht="17.45" customHeight="1">
      <c r="B244" s="523"/>
      <c r="C244" s="263" t="s">
        <v>425</v>
      </c>
      <c r="D244" s="1037" t="s">
        <v>426</v>
      </c>
      <c r="E244" s="1037"/>
      <c r="F244" s="1037"/>
      <c r="G244" s="1037"/>
      <c r="H244" s="1037"/>
      <c r="I244" s="1037"/>
      <c r="J244" s="1038" t="s">
        <v>397</v>
      </c>
      <c r="K244" s="1038"/>
      <c r="L244" s="1039">
        <v>1E-3</v>
      </c>
      <c r="M244" s="1039"/>
      <c r="N244" s="1039"/>
      <c r="O244" s="1040">
        <v>217.73</v>
      </c>
      <c r="P244" s="1040"/>
      <c r="Q244" s="1040"/>
      <c r="R244" s="1040"/>
      <c r="S244" s="1011">
        <f t="shared" si="7"/>
        <v>0.21773000000000001</v>
      </c>
      <c r="T244" s="1012"/>
      <c r="U244" s="1012"/>
      <c r="V244" s="1013"/>
    </row>
    <row r="245" spans="2:22" ht="17.45" customHeight="1">
      <c r="B245" s="524"/>
      <c r="C245" s="262" t="s">
        <v>427</v>
      </c>
      <c r="D245" s="1019" t="s">
        <v>426</v>
      </c>
      <c r="E245" s="1019"/>
      <c r="F245" s="1019"/>
      <c r="G245" s="1019"/>
      <c r="H245" s="1019"/>
      <c r="I245" s="1019"/>
      <c r="J245" s="1020" t="s">
        <v>404</v>
      </c>
      <c r="K245" s="1020"/>
      <c r="L245" s="1021">
        <v>1.4999999999999999E-2</v>
      </c>
      <c r="M245" s="1021"/>
      <c r="N245" s="1021"/>
      <c r="O245" s="1022">
        <v>79.92</v>
      </c>
      <c r="P245" s="1022"/>
      <c r="Q245" s="1022"/>
      <c r="R245" s="1022"/>
      <c r="S245" s="1057">
        <f t="shared" si="7"/>
        <v>1.1988000000000001</v>
      </c>
      <c r="T245" s="1058"/>
      <c r="U245" s="1058"/>
      <c r="V245" s="1059"/>
    </row>
    <row r="246" spans="2:22" ht="17.45" customHeight="1">
      <c r="B246" s="1023"/>
      <c r="C246" s="1024"/>
      <c r="D246" s="1024"/>
      <c r="E246" s="1024"/>
      <c r="F246" s="1024"/>
      <c r="G246" s="1024"/>
      <c r="H246" s="1024"/>
      <c r="I246" s="1025" t="s">
        <v>347</v>
      </c>
      <c r="J246" s="1025"/>
      <c r="K246" s="1025"/>
      <c r="L246" s="1025"/>
      <c r="M246" s="1025"/>
      <c r="N246" s="1025"/>
      <c r="O246" s="1025"/>
      <c r="P246" s="1025"/>
      <c r="Q246" s="1025"/>
      <c r="R246" s="1025"/>
      <c r="S246" s="1026">
        <f>SUM(S233:V245)</f>
        <v>10.30592</v>
      </c>
      <c r="T246" s="1026"/>
      <c r="U246" s="1026"/>
      <c r="V246" s="1027"/>
    </row>
    <row r="247" spans="2:22" ht="17.45" customHeight="1">
      <c r="B247" s="1028"/>
      <c r="C247" s="1029"/>
      <c r="D247" s="1029"/>
      <c r="E247" s="1029"/>
      <c r="F247" s="1029"/>
      <c r="G247" s="1029"/>
      <c r="H247" s="1029"/>
      <c r="I247" s="1029"/>
      <c r="J247" s="1029"/>
      <c r="K247" s="1029"/>
      <c r="L247" s="1029"/>
      <c r="M247" s="1029"/>
      <c r="N247" s="1029"/>
      <c r="O247" s="1029"/>
      <c r="P247" s="1029"/>
      <c r="Q247" s="1029"/>
      <c r="R247" s="1029"/>
      <c r="S247" s="1029"/>
      <c r="T247" s="1029"/>
      <c r="U247" s="1029"/>
      <c r="V247" s="1030"/>
    </row>
    <row r="248" spans="2:22" ht="17.45" customHeight="1">
      <c r="B248" s="1031"/>
      <c r="C248" s="1032"/>
      <c r="D248" s="1032"/>
      <c r="E248" s="1032"/>
      <c r="F248" s="1032"/>
      <c r="G248" s="1032"/>
      <c r="H248" s="1032"/>
      <c r="I248" s="1033" t="s">
        <v>348</v>
      </c>
      <c r="J248" s="1033"/>
      <c r="K248" s="1033"/>
      <c r="L248" s="1033"/>
      <c r="M248" s="1033"/>
      <c r="N248" s="1033"/>
      <c r="O248" s="1033"/>
      <c r="P248" s="1033"/>
      <c r="Q248" s="1033"/>
      <c r="R248" s="1033"/>
      <c r="S248" s="1012">
        <f>S246</f>
        <v>10.30592</v>
      </c>
      <c r="T248" s="1012"/>
      <c r="U248" s="1012"/>
      <c r="V248" s="1013"/>
    </row>
    <row r="249" spans="2:22" ht="17.45" customHeight="1">
      <c r="B249" s="1031"/>
      <c r="C249" s="1032"/>
      <c r="D249" s="1032"/>
      <c r="E249" s="1032"/>
      <c r="F249" s="1032"/>
      <c r="G249" s="1032"/>
      <c r="H249" s="1033" t="s">
        <v>349</v>
      </c>
      <c r="I249" s="1033"/>
      <c r="J249" s="1033"/>
      <c r="K249" s="1033"/>
      <c r="L249" s="1033"/>
      <c r="M249" s="1035">
        <v>20.7</v>
      </c>
      <c r="N249" s="1035"/>
      <c r="O249" s="1035"/>
      <c r="P249" s="1036" t="s">
        <v>350</v>
      </c>
      <c r="Q249" s="1036"/>
      <c r="R249" s="1036"/>
      <c r="S249" s="1012">
        <f>TRUNC(S248*M249%,2)</f>
        <v>2.13</v>
      </c>
      <c r="T249" s="1012"/>
      <c r="U249" s="1012"/>
      <c r="V249" s="1013"/>
    </row>
    <row r="250" spans="2:22" ht="17.45" customHeight="1">
      <c r="B250" s="1014"/>
      <c r="C250" s="1015"/>
      <c r="D250" s="1015"/>
      <c r="E250" s="1015"/>
      <c r="F250" s="1015"/>
      <c r="G250" s="1015"/>
      <c r="H250" s="1015"/>
      <c r="I250" s="1016" t="s">
        <v>351</v>
      </c>
      <c r="J250" s="1016"/>
      <c r="K250" s="1016"/>
      <c r="L250" s="1016"/>
      <c r="M250" s="1016"/>
      <c r="N250" s="1016"/>
      <c r="O250" s="1016"/>
      <c r="P250" s="1016"/>
      <c r="Q250" s="1016"/>
      <c r="R250" s="1016"/>
      <c r="S250" s="1017">
        <f>S248+S249</f>
        <v>12.435919999999999</v>
      </c>
      <c r="T250" s="1017"/>
      <c r="U250" s="1017"/>
      <c r="V250" s="1018"/>
    </row>
    <row r="251" spans="2:22" ht="144.94999999999999" customHeight="1">
      <c r="B251" s="214"/>
      <c r="V251" s="217"/>
    </row>
    <row r="252" spans="2:22" ht="57.75" customHeight="1">
      <c r="B252" s="214"/>
      <c r="V252" s="217"/>
    </row>
    <row r="253" spans="2:22" ht="144.94999999999999" customHeight="1">
      <c r="B253" s="214"/>
      <c r="C253" s="525"/>
      <c r="D253" s="526"/>
      <c r="E253" s="526"/>
      <c r="F253" s="526"/>
      <c r="G253" s="526"/>
      <c r="H253" s="526"/>
      <c r="I253" s="526"/>
      <c r="J253" s="526"/>
      <c r="K253" s="525"/>
      <c r="L253" s="525"/>
      <c r="M253" s="525"/>
      <c r="N253" s="525"/>
      <c r="O253" s="543"/>
      <c r="P253" s="543"/>
      <c r="Q253" s="543"/>
      <c r="R253" s="543"/>
      <c r="S253" s="525"/>
      <c r="T253" s="525"/>
      <c r="U253" s="525"/>
      <c r="V253" s="217"/>
    </row>
    <row r="254" spans="2:22" ht="17.45" customHeight="1">
      <c r="B254" s="514"/>
      <c r="C254" s="1063" t="s">
        <v>320</v>
      </c>
      <c r="D254" s="1063"/>
      <c r="E254" s="1063"/>
      <c r="F254" s="515"/>
      <c r="G254" s="1042" t="str">
        <f>G229</f>
        <v>Data Base: Dez./2022 (SINAPI) e Jul./2022 (SICRO) sem desoneração</v>
      </c>
      <c r="H254" s="1042"/>
      <c r="I254" s="1042"/>
      <c r="J254" s="1042"/>
      <c r="K254" s="1042"/>
      <c r="L254" s="1042"/>
      <c r="M254" s="516"/>
      <c r="N254" s="1043" t="s">
        <v>644</v>
      </c>
      <c r="O254" s="1043"/>
      <c r="P254" s="1043"/>
      <c r="Q254" s="1043"/>
      <c r="R254" s="1043"/>
      <c r="S254" s="1043"/>
      <c r="T254" s="1043"/>
      <c r="U254" s="1043"/>
      <c r="V254" s="517"/>
    </row>
    <row r="255" spans="2:22" ht="17.45" customHeight="1">
      <c r="B255" s="518"/>
      <c r="C255" s="1078" t="s">
        <v>321</v>
      </c>
      <c r="D255" s="1078"/>
      <c r="E255" s="1080" t="s">
        <v>428</v>
      </c>
      <c r="F255" s="1080"/>
      <c r="G255" s="1080"/>
      <c r="H255" s="1080"/>
      <c r="I255" s="1080"/>
      <c r="J255" s="1080"/>
      <c r="K255" s="1066" t="s">
        <v>322</v>
      </c>
      <c r="L255" s="1066"/>
      <c r="M255" s="211"/>
      <c r="N255" s="1067" t="s">
        <v>429</v>
      </c>
      <c r="O255" s="1067"/>
      <c r="P255" s="1067"/>
      <c r="Q255" s="541"/>
      <c r="R255" s="541"/>
      <c r="S255" s="211"/>
      <c r="T255" s="211"/>
      <c r="U255" s="211"/>
      <c r="V255" s="519"/>
    </row>
    <row r="256" spans="2:22" ht="17.45" customHeight="1">
      <c r="B256" s="520"/>
      <c r="C256" s="1079"/>
      <c r="D256" s="1079"/>
      <c r="E256" s="1081"/>
      <c r="F256" s="1081"/>
      <c r="G256" s="1081"/>
      <c r="H256" s="1081"/>
      <c r="I256" s="1081"/>
      <c r="J256" s="1081"/>
      <c r="K256" s="1068" t="s">
        <v>324</v>
      </c>
      <c r="L256" s="1068"/>
      <c r="M256" s="212"/>
      <c r="N256" s="1069">
        <v>1</v>
      </c>
      <c r="O256" s="1069"/>
      <c r="P256" s="1069"/>
      <c r="Q256" s="542"/>
      <c r="R256" s="1068" t="s">
        <v>325</v>
      </c>
      <c r="S256" s="1068"/>
      <c r="T256" s="212"/>
      <c r="U256" s="213" t="s">
        <v>326</v>
      </c>
      <c r="V256" s="521"/>
    </row>
    <row r="257" spans="2:22" ht="17.45" customHeight="1">
      <c r="B257" s="1050" t="s">
        <v>327</v>
      </c>
      <c r="C257" s="1051"/>
      <c r="D257" s="1052" t="s">
        <v>234</v>
      </c>
      <c r="E257" s="1052"/>
      <c r="F257" s="1052"/>
      <c r="G257" s="1052"/>
      <c r="H257" s="1052"/>
      <c r="I257" s="1052"/>
      <c r="J257" s="1051" t="s">
        <v>241</v>
      </c>
      <c r="K257" s="1051"/>
      <c r="L257" s="1051" t="s">
        <v>245</v>
      </c>
      <c r="M257" s="1051"/>
      <c r="N257" s="1051"/>
      <c r="O257" s="1053" t="s">
        <v>328</v>
      </c>
      <c r="P257" s="1053"/>
      <c r="Q257" s="1053"/>
      <c r="R257" s="1053"/>
      <c r="S257" s="1052" t="s">
        <v>329</v>
      </c>
      <c r="T257" s="1052"/>
      <c r="U257" s="1052"/>
      <c r="V257" s="1054"/>
    </row>
    <row r="258" spans="2:22" ht="17.45" customHeight="1">
      <c r="B258" s="522"/>
      <c r="C258" s="264" t="s">
        <v>430</v>
      </c>
      <c r="D258" s="1055" t="s">
        <v>431</v>
      </c>
      <c r="E258" s="1055"/>
      <c r="F258" s="1055"/>
      <c r="G258" s="1055"/>
      <c r="H258" s="1055"/>
      <c r="I258" s="1055"/>
      <c r="J258" s="1060" t="s">
        <v>397</v>
      </c>
      <c r="K258" s="1060"/>
      <c r="L258" s="1056">
        <v>2E-3</v>
      </c>
      <c r="M258" s="1056"/>
      <c r="N258" s="1056"/>
      <c r="O258" s="1010">
        <v>11.31</v>
      </c>
      <c r="P258" s="1010"/>
      <c r="Q258" s="1010"/>
      <c r="R258" s="1010"/>
      <c r="S258" s="1061">
        <f>L258*O258</f>
        <v>2.2620000000000001E-2</v>
      </c>
      <c r="T258" s="1061"/>
      <c r="U258" s="1061"/>
      <c r="V258" s="1062"/>
    </row>
    <row r="259" spans="2:22" ht="17.45" customHeight="1">
      <c r="B259" s="523"/>
      <c r="C259" s="263" t="s">
        <v>432</v>
      </c>
      <c r="D259" s="1037" t="s">
        <v>431</v>
      </c>
      <c r="E259" s="1037"/>
      <c r="F259" s="1037"/>
      <c r="G259" s="1037"/>
      <c r="H259" s="1037"/>
      <c r="I259" s="1037"/>
      <c r="J259" s="1038" t="s">
        <v>404</v>
      </c>
      <c r="K259" s="1038"/>
      <c r="L259" s="1039">
        <v>4.1000000000000003E-3</v>
      </c>
      <c r="M259" s="1039"/>
      <c r="N259" s="1039"/>
      <c r="O259" s="1040">
        <v>5.38</v>
      </c>
      <c r="P259" s="1040"/>
      <c r="Q259" s="1040"/>
      <c r="R259" s="1040"/>
      <c r="S259" s="1011">
        <f t="shared" ref="S259:S265" si="8">L259*O259</f>
        <v>2.2058000000000001E-2</v>
      </c>
      <c r="T259" s="1012"/>
      <c r="U259" s="1012"/>
      <c r="V259" s="1013"/>
    </row>
    <row r="260" spans="2:22" ht="17.45" customHeight="1">
      <c r="B260" s="523"/>
      <c r="C260" s="263" t="s">
        <v>336</v>
      </c>
      <c r="D260" s="1037" t="s">
        <v>337</v>
      </c>
      <c r="E260" s="1037"/>
      <c r="F260" s="1037"/>
      <c r="G260" s="1037"/>
      <c r="H260" s="1037"/>
      <c r="I260" s="1037"/>
      <c r="J260" s="1038" t="s">
        <v>335</v>
      </c>
      <c r="K260" s="1038"/>
      <c r="L260" s="1039">
        <v>5.7999999999999996E-3</v>
      </c>
      <c r="M260" s="1039"/>
      <c r="N260" s="1039"/>
      <c r="O260" s="1040">
        <v>19.28</v>
      </c>
      <c r="P260" s="1040"/>
      <c r="Q260" s="1040"/>
      <c r="R260" s="1040"/>
      <c r="S260" s="1011">
        <f t="shared" si="8"/>
        <v>0.11182399999999999</v>
      </c>
      <c r="T260" s="1012"/>
      <c r="U260" s="1012"/>
      <c r="V260" s="1013"/>
    </row>
    <row r="261" spans="2:22" ht="17.45" customHeight="1">
      <c r="B261" s="523"/>
      <c r="C261" s="263">
        <v>83362</v>
      </c>
      <c r="D261" s="1037" t="s">
        <v>434</v>
      </c>
      <c r="E261" s="1037"/>
      <c r="F261" s="1037"/>
      <c r="G261" s="1037"/>
      <c r="H261" s="1037"/>
      <c r="I261" s="1037"/>
      <c r="J261" s="1038" t="s">
        <v>397</v>
      </c>
      <c r="K261" s="1038"/>
      <c r="L261" s="1039">
        <v>1E-3</v>
      </c>
      <c r="M261" s="1039"/>
      <c r="N261" s="1039"/>
      <c r="O261" s="1040">
        <v>254.92</v>
      </c>
      <c r="P261" s="1040"/>
      <c r="Q261" s="1040"/>
      <c r="R261" s="1040"/>
      <c r="S261" s="1011">
        <f t="shared" si="8"/>
        <v>0.25491999999999998</v>
      </c>
      <c r="T261" s="1012"/>
      <c r="U261" s="1012"/>
      <c r="V261" s="1013"/>
    </row>
    <row r="262" spans="2:22" ht="17.45" customHeight="1">
      <c r="B262" s="523"/>
      <c r="C262" s="263" t="s">
        <v>421</v>
      </c>
      <c r="D262" s="1037" t="s">
        <v>422</v>
      </c>
      <c r="E262" s="1037"/>
      <c r="F262" s="1037"/>
      <c r="G262" s="1037"/>
      <c r="H262" s="1037"/>
      <c r="I262" s="1037"/>
      <c r="J262" s="1038" t="s">
        <v>397</v>
      </c>
      <c r="K262" s="1038"/>
      <c r="L262" s="1039">
        <v>1.6999999999999999E-3</v>
      </c>
      <c r="M262" s="1039"/>
      <c r="N262" s="1039"/>
      <c r="O262" s="1040">
        <v>125.04</v>
      </c>
      <c r="P262" s="1040"/>
      <c r="Q262" s="1040"/>
      <c r="R262" s="1040"/>
      <c r="S262" s="1011">
        <f t="shared" si="8"/>
        <v>0.21256800000000001</v>
      </c>
      <c r="T262" s="1012"/>
      <c r="U262" s="1012"/>
      <c r="V262" s="1013"/>
    </row>
    <row r="263" spans="2:22" ht="17.45" customHeight="1">
      <c r="B263" s="523"/>
      <c r="C263" s="263" t="s">
        <v>423</v>
      </c>
      <c r="D263" s="1037" t="s">
        <v>422</v>
      </c>
      <c r="E263" s="1037"/>
      <c r="F263" s="1037"/>
      <c r="G263" s="1037"/>
      <c r="H263" s="1037"/>
      <c r="I263" s="1037"/>
      <c r="J263" s="1038" t="s">
        <v>404</v>
      </c>
      <c r="K263" s="1038"/>
      <c r="L263" s="1039">
        <v>4.1000000000000003E-3</v>
      </c>
      <c r="M263" s="1039"/>
      <c r="N263" s="1039"/>
      <c r="O263" s="1040">
        <v>35.07</v>
      </c>
      <c r="P263" s="1040"/>
      <c r="Q263" s="1040"/>
      <c r="R263" s="1040"/>
      <c r="S263" s="1011">
        <f t="shared" si="8"/>
        <v>0.14378700000000003</v>
      </c>
      <c r="T263" s="1012"/>
      <c r="U263" s="1012"/>
      <c r="V263" s="1013"/>
    </row>
    <row r="264" spans="2:22" ht="17.45" customHeight="1">
      <c r="B264" s="523"/>
      <c r="C264" s="263" t="s">
        <v>435</v>
      </c>
      <c r="D264" s="1037" t="s">
        <v>434</v>
      </c>
      <c r="E264" s="1037"/>
      <c r="F264" s="1037"/>
      <c r="G264" s="1037"/>
      <c r="H264" s="1037"/>
      <c r="I264" s="1037"/>
      <c r="J264" s="1038" t="s">
        <v>404</v>
      </c>
      <c r="K264" s="1038"/>
      <c r="L264" s="1039">
        <v>4.8999999999999998E-3</v>
      </c>
      <c r="M264" s="1039"/>
      <c r="N264" s="1039"/>
      <c r="O264" s="1040">
        <v>48.72</v>
      </c>
      <c r="P264" s="1040"/>
      <c r="Q264" s="1040"/>
      <c r="R264" s="1040"/>
      <c r="S264" s="1011">
        <f t="shared" si="8"/>
        <v>0.238728</v>
      </c>
      <c r="T264" s="1012"/>
      <c r="U264" s="1012"/>
      <c r="V264" s="1013"/>
    </row>
    <row r="265" spans="2:22" ht="17.45" customHeight="1">
      <c r="B265" s="524"/>
      <c r="C265" s="262">
        <v>41901</v>
      </c>
      <c r="D265" s="1019" t="s">
        <v>436</v>
      </c>
      <c r="E265" s="1019"/>
      <c r="F265" s="1019"/>
      <c r="G265" s="1019"/>
      <c r="H265" s="1019"/>
      <c r="I265" s="1019"/>
      <c r="J265" s="1020" t="s">
        <v>346</v>
      </c>
      <c r="K265" s="1020"/>
      <c r="L265" s="1021">
        <v>1.2</v>
      </c>
      <c r="M265" s="1021"/>
      <c r="N265" s="1021"/>
      <c r="O265" s="1022">
        <v>6.53</v>
      </c>
      <c r="P265" s="1022"/>
      <c r="Q265" s="1022"/>
      <c r="R265" s="1022"/>
      <c r="S265" s="1057">
        <f t="shared" si="8"/>
        <v>7.8360000000000003</v>
      </c>
      <c r="T265" s="1058"/>
      <c r="U265" s="1058"/>
      <c r="V265" s="1059"/>
    </row>
    <row r="266" spans="2:22" ht="17.45" customHeight="1">
      <c r="B266" s="1023"/>
      <c r="C266" s="1024"/>
      <c r="D266" s="1024"/>
      <c r="E266" s="1024"/>
      <c r="F266" s="1024"/>
      <c r="G266" s="1024"/>
      <c r="H266" s="1024"/>
      <c r="I266" s="1025" t="s">
        <v>347</v>
      </c>
      <c r="J266" s="1025"/>
      <c r="K266" s="1025"/>
      <c r="L266" s="1025"/>
      <c r="M266" s="1025"/>
      <c r="N266" s="1025"/>
      <c r="O266" s="1025"/>
      <c r="P266" s="1025"/>
      <c r="Q266" s="1025"/>
      <c r="R266" s="1025"/>
      <c r="S266" s="1026">
        <f>SUM(S258:V265)</f>
        <v>8.8425050000000009</v>
      </c>
      <c r="T266" s="1026"/>
      <c r="U266" s="1026"/>
      <c r="V266" s="1027"/>
    </row>
    <row r="267" spans="2:22" ht="17.45" customHeight="1">
      <c r="B267" s="1028"/>
      <c r="C267" s="1029"/>
      <c r="D267" s="1029"/>
      <c r="E267" s="1029"/>
      <c r="F267" s="1029"/>
      <c r="G267" s="1029"/>
      <c r="H267" s="1029"/>
      <c r="I267" s="1029"/>
      <c r="J267" s="1029"/>
      <c r="K267" s="1029"/>
      <c r="L267" s="1029"/>
      <c r="M267" s="1029"/>
      <c r="N267" s="1029"/>
      <c r="O267" s="1029"/>
      <c r="P267" s="1029"/>
      <c r="Q267" s="1029"/>
      <c r="R267" s="1029"/>
      <c r="S267" s="1029"/>
      <c r="T267" s="1029"/>
      <c r="U267" s="1029"/>
      <c r="V267" s="1030"/>
    </row>
    <row r="268" spans="2:22" ht="17.45" customHeight="1">
      <c r="B268" s="1031"/>
      <c r="C268" s="1032"/>
      <c r="D268" s="1032"/>
      <c r="E268" s="1032"/>
      <c r="F268" s="1032"/>
      <c r="G268" s="1032"/>
      <c r="H268" s="1032"/>
      <c r="I268" s="1033" t="s">
        <v>348</v>
      </c>
      <c r="J268" s="1033"/>
      <c r="K268" s="1033"/>
      <c r="L268" s="1033"/>
      <c r="M268" s="1033"/>
      <c r="N268" s="1033"/>
      <c r="O268" s="1033"/>
      <c r="P268" s="1033"/>
      <c r="Q268" s="1033"/>
      <c r="R268" s="1033"/>
      <c r="S268" s="1012">
        <f>S266</f>
        <v>8.8425050000000009</v>
      </c>
      <c r="T268" s="1012"/>
      <c r="U268" s="1012"/>
      <c r="V268" s="1013"/>
    </row>
    <row r="269" spans="2:22" ht="17.45" customHeight="1">
      <c r="B269" s="1031"/>
      <c r="C269" s="1032"/>
      <c r="D269" s="1032"/>
      <c r="E269" s="1032"/>
      <c r="F269" s="1032"/>
      <c r="G269" s="1032"/>
      <c r="H269" s="1033" t="s">
        <v>349</v>
      </c>
      <c r="I269" s="1033"/>
      <c r="J269" s="1033"/>
      <c r="K269" s="1033"/>
      <c r="L269" s="1033"/>
      <c r="M269" s="1035">
        <v>20.7</v>
      </c>
      <c r="N269" s="1035"/>
      <c r="O269" s="1035"/>
      <c r="P269" s="1036" t="s">
        <v>350</v>
      </c>
      <c r="Q269" s="1036"/>
      <c r="R269" s="1036"/>
      <c r="S269" s="1012">
        <f>TRUNC(S268*M269%,2)</f>
        <v>1.83</v>
      </c>
      <c r="T269" s="1012"/>
      <c r="U269" s="1012"/>
      <c r="V269" s="1013"/>
    </row>
    <row r="270" spans="2:22" ht="17.45" customHeight="1">
      <c r="B270" s="1014"/>
      <c r="C270" s="1015"/>
      <c r="D270" s="1015"/>
      <c r="E270" s="1015"/>
      <c r="F270" s="1015"/>
      <c r="G270" s="1015"/>
      <c r="H270" s="1015"/>
      <c r="I270" s="1016" t="s">
        <v>351</v>
      </c>
      <c r="J270" s="1016"/>
      <c r="K270" s="1016"/>
      <c r="L270" s="1016"/>
      <c r="M270" s="1016"/>
      <c r="N270" s="1016"/>
      <c r="O270" s="1016"/>
      <c r="P270" s="1016"/>
      <c r="Q270" s="1016"/>
      <c r="R270" s="1016"/>
      <c r="S270" s="1017">
        <f>S268+S269</f>
        <v>10.672505000000001</v>
      </c>
      <c r="T270" s="1017"/>
      <c r="U270" s="1017"/>
      <c r="V270" s="1018"/>
    </row>
    <row r="271" spans="2:22" ht="144.94999999999999" customHeight="1">
      <c r="B271" s="214"/>
      <c r="V271" s="217"/>
    </row>
    <row r="272" spans="2:22" ht="144.94999999999999" customHeight="1">
      <c r="B272" s="214"/>
      <c r="V272" s="217"/>
    </row>
    <row r="273" spans="2:22" ht="138.75" customHeight="1">
      <c r="B273" s="214"/>
      <c r="V273" s="217"/>
    </row>
    <row r="274" spans="2:22" ht="17.45" customHeight="1">
      <c r="B274" s="214"/>
      <c r="C274" s="525"/>
      <c r="D274" s="526"/>
      <c r="E274" s="526"/>
      <c r="F274" s="526"/>
      <c r="G274" s="526"/>
      <c r="H274" s="526"/>
      <c r="I274" s="526"/>
      <c r="J274" s="526"/>
      <c r="K274" s="525"/>
      <c r="L274" s="525"/>
      <c r="M274" s="525"/>
      <c r="N274" s="525"/>
      <c r="O274" s="543"/>
      <c r="P274" s="543"/>
      <c r="Q274" s="543"/>
      <c r="R274" s="543"/>
      <c r="S274" s="525"/>
      <c r="T274" s="525"/>
      <c r="U274" s="525"/>
      <c r="V274" s="217"/>
    </row>
    <row r="275" spans="2:22" ht="17.45" customHeight="1">
      <c r="B275" s="514"/>
      <c r="C275" s="1063" t="s">
        <v>320</v>
      </c>
      <c r="D275" s="1063"/>
      <c r="E275" s="1063"/>
      <c r="F275" s="515"/>
      <c r="G275" s="1042" t="str">
        <f>G254</f>
        <v>Data Base: Dez./2022 (SINAPI) e Jul./2022 (SICRO) sem desoneração</v>
      </c>
      <c r="H275" s="1042"/>
      <c r="I275" s="1042"/>
      <c r="J275" s="1042"/>
      <c r="K275" s="1042"/>
      <c r="L275" s="1042"/>
      <c r="M275" s="516"/>
      <c r="N275" s="1043" t="s">
        <v>644</v>
      </c>
      <c r="O275" s="1043"/>
      <c r="P275" s="1043"/>
      <c r="Q275" s="1043"/>
      <c r="R275" s="1043"/>
      <c r="S275" s="1043"/>
      <c r="T275" s="1043"/>
      <c r="U275" s="1043"/>
      <c r="V275" s="517"/>
    </row>
    <row r="276" spans="2:22" ht="17.45" customHeight="1">
      <c r="B276" s="518"/>
      <c r="C276" s="1064" t="s">
        <v>321</v>
      </c>
      <c r="D276" s="1064"/>
      <c r="E276" s="1065" t="s">
        <v>437</v>
      </c>
      <c r="F276" s="1065"/>
      <c r="G276" s="1065"/>
      <c r="H276" s="1065"/>
      <c r="I276" s="1065"/>
      <c r="J276" s="1065"/>
      <c r="K276" s="1066" t="s">
        <v>322</v>
      </c>
      <c r="L276" s="1066"/>
      <c r="M276" s="211"/>
      <c r="N276" s="1067" t="s">
        <v>438</v>
      </c>
      <c r="O276" s="1067"/>
      <c r="P276" s="1067"/>
      <c r="Q276" s="541"/>
      <c r="R276" s="541"/>
      <c r="S276" s="211"/>
      <c r="T276" s="211"/>
      <c r="U276" s="211"/>
      <c r="V276" s="519"/>
    </row>
    <row r="277" spans="2:22" ht="17.45" customHeight="1">
      <c r="B277" s="520"/>
      <c r="C277" s="1064"/>
      <c r="D277" s="1064"/>
      <c r="E277" s="1065"/>
      <c r="F277" s="1065"/>
      <c r="G277" s="1065"/>
      <c r="H277" s="1065"/>
      <c r="I277" s="1065"/>
      <c r="J277" s="1065"/>
      <c r="K277" s="1068" t="s">
        <v>324</v>
      </c>
      <c r="L277" s="1068"/>
      <c r="M277" s="212"/>
      <c r="N277" s="1069">
        <v>1</v>
      </c>
      <c r="O277" s="1069"/>
      <c r="P277" s="1069"/>
      <c r="Q277" s="542"/>
      <c r="R277" s="1068" t="s">
        <v>325</v>
      </c>
      <c r="S277" s="1068"/>
      <c r="T277" s="212"/>
      <c r="U277" s="213" t="s">
        <v>326</v>
      </c>
      <c r="V277" s="521"/>
    </row>
    <row r="278" spans="2:22" ht="17.45" customHeight="1">
      <c r="B278" s="1050" t="s">
        <v>327</v>
      </c>
      <c r="C278" s="1051"/>
      <c r="D278" s="1052" t="s">
        <v>234</v>
      </c>
      <c r="E278" s="1052"/>
      <c r="F278" s="1052"/>
      <c r="G278" s="1052"/>
      <c r="H278" s="1052"/>
      <c r="I278" s="1052"/>
      <c r="J278" s="1051" t="s">
        <v>241</v>
      </c>
      <c r="K278" s="1051"/>
      <c r="L278" s="1051" t="s">
        <v>245</v>
      </c>
      <c r="M278" s="1051"/>
      <c r="N278" s="1051"/>
      <c r="O278" s="1053" t="s">
        <v>328</v>
      </c>
      <c r="P278" s="1053"/>
      <c r="Q278" s="1053"/>
      <c r="R278" s="1053"/>
      <c r="S278" s="1052" t="s">
        <v>329</v>
      </c>
      <c r="T278" s="1052"/>
      <c r="U278" s="1052"/>
      <c r="V278" s="1054"/>
    </row>
    <row r="279" spans="2:22" ht="17.45" customHeight="1">
      <c r="B279" s="522"/>
      <c r="C279" s="264" t="s">
        <v>336</v>
      </c>
      <c r="D279" s="1055" t="s">
        <v>337</v>
      </c>
      <c r="E279" s="1055"/>
      <c r="F279" s="1055"/>
      <c r="G279" s="1055"/>
      <c r="H279" s="1055"/>
      <c r="I279" s="1055"/>
      <c r="J279" s="1060" t="s">
        <v>335</v>
      </c>
      <c r="K279" s="1060"/>
      <c r="L279" s="1056">
        <v>1.09E-2</v>
      </c>
      <c r="M279" s="1056"/>
      <c r="N279" s="1056"/>
      <c r="O279" s="1010">
        <v>19.28</v>
      </c>
      <c r="P279" s="1010"/>
      <c r="Q279" s="1010"/>
      <c r="R279" s="1010"/>
      <c r="S279" s="1061">
        <f>L279*O279</f>
        <v>0.21015200000000001</v>
      </c>
      <c r="T279" s="1061"/>
      <c r="U279" s="1061"/>
      <c r="V279" s="1062"/>
    </row>
    <row r="280" spans="2:22" ht="17.45" customHeight="1">
      <c r="B280" s="523"/>
      <c r="C280" s="263" t="s">
        <v>433</v>
      </c>
      <c r="D280" s="1037" t="s">
        <v>434</v>
      </c>
      <c r="E280" s="1037"/>
      <c r="F280" s="1037"/>
      <c r="G280" s="1037"/>
      <c r="H280" s="1037"/>
      <c r="I280" s="1037"/>
      <c r="J280" s="1038" t="s">
        <v>397</v>
      </c>
      <c r="K280" s="1038"/>
      <c r="L280" s="1039">
        <v>1.8E-3</v>
      </c>
      <c r="M280" s="1039"/>
      <c r="N280" s="1039"/>
      <c r="O280" s="1040">
        <v>254.92</v>
      </c>
      <c r="P280" s="1040"/>
      <c r="Q280" s="1040"/>
      <c r="R280" s="1040"/>
      <c r="S280" s="1011">
        <f t="shared" ref="S280:S283" si="9">L280*O280</f>
        <v>0.45885599999999999</v>
      </c>
      <c r="T280" s="1012"/>
      <c r="U280" s="1012"/>
      <c r="V280" s="1013"/>
    </row>
    <row r="281" spans="2:22" ht="17.45" customHeight="1">
      <c r="B281" s="523"/>
      <c r="C281" s="263" t="s">
        <v>439</v>
      </c>
      <c r="D281" s="1037" t="s">
        <v>440</v>
      </c>
      <c r="E281" s="1037"/>
      <c r="F281" s="1037"/>
      <c r="G281" s="1037"/>
      <c r="H281" s="1037"/>
      <c r="I281" s="1037"/>
      <c r="J281" s="1038" t="s">
        <v>397</v>
      </c>
      <c r="K281" s="1038"/>
      <c r="L281" s="1039">
        <v>4.0000000000000002E-4</v>
      </c>
      <c r="M281" s="1039"/>
      <c r="N281" s="1039"/>
      <c r="O281" s="1040">
        <v>179.17</v>
      </c>
      <c r="P281" s="1040"/>
      <c r="Q281" s="1040"/>
      <c r="R281" s="1040"/>
      <c r="S281" s="1011">
        <f t="shared" si="9"/>
        <v>7.1667999999999996E-2</v>
      </c>
      <c r="T281" s="1012"/>
      <c r="U281" s="1012"/>
      <c r="V281" s="1013"/>
    </row>
    <row r="282" spans="2:22" ht="17.45" customHeight="1">
      <c r="B282" s="523"/>
      <c r="C282" s="263" t="s">
        <v>441</v>
      </c>
      <c r="D282" s="1037" t="s">
        <v>440</v>
      </c>
      <c r="E282" s="1037"/>
      <c r="F282" s="1037"/>
      <c r="G282" s="1037"/>
      <c r="H282" s="1037"/>
      <c r="I282" s="1037"/>
      <c r="J282" s="1038" t="s">
        <v>404</v>
      </c>
      <c r="K282" s="1038"/>
      <c r="L282" s="1039">
        <v>1.5E-3</v>
      </c>
      <c r="M282" s="1039"/>
      <c r="N282" s="1039"/>
      <c r="O282" s="1040">
        <v>46.23</v>
      </c>
      <c r="P282" s="1040"/>
      <c r="Q282" s="1040"/>
      <c r="R282" s="1040"/>
      <c r="S282" s="1011">
        <f t="shared" si="9"/>
        <v>6.934499999999999E-2</v>
      </c>
      <c r="T282" s="1012"/>
      <c r="U282" s="1012"/>
      <c r="V282" s="1013"/>
    </row>
    <row r="283" spans="2:22" ht="17.45" customHeight="1">
      <c r="B283" s="524"/>
      <c r="C283" s="262" t="s">
        <v>442</v>
      </c>
      <c r="D283" s="1019" t="s">
        <v>443</v>
      </c>
      <c r="E283" s="1019"/>
      <c r="F283" s="1019"/>
      <c r="G283" s="1019"/>
      <c r="H283" s="1019"/>
      <c r="I283" s="1019"/>
      <c r="J283" s="1020" t="s">
        <v>346</v>
      </c>
      <c r="K283" s="1020"/>
      <c r="L283" s="1021">
        <v>0.5</v>
      </c>
      <c r="M283" s="1021"/>
      <c r="N283" s="1021"/>
      <c r="O283" s="1022">
        <v>3.68</v>
      </c>
      <c r="P283" s="1022"/>
      <c r="Q283" s="1022"/>
      <c r="R283" s="1022"/>
      <c r="S283" s="1057">
        <f t="shared" si="9"/>
        <v>1.84</v>
      </c>
      <c r="T283" s="1058"/>
      <c r="U283" s="1058"/>
      <c r="V283" s="1059"/>
    </row>
    <row r="284" spans="2:22" ht="17.45" customHeight="1">
      <c r="B284" s="1023"/>
      <c r="C284" s="1024"/>
      <c r="D284" s="1024"/>
      <c r="E284" s="1024"/>
      <c r="F284" s="1024"/>
      <c r="G284" s="1024"/>
      <c r="H284" s="1024"/>
      <c r="I284" s="1025" t="s">
        <v>347</v>
      </c>
      <c r="J284" s="1025"/>
      <c r="K284" s="1025"/>
      <c r="L284" s="1025"/>
      <c r="M284" s="1025"/>
      <c r="N284" s="1025"/>
      <c r="O284" s="1025"/>
      <c r="P284" s="1025"/>
      <c r="Q284" s="1025"/>
      <c r="R284" s="1025"/>
      <c r="S284" s="1026">
        <f>SUM(S279:V283)</f>
        <v>2.6500210000000002</v>
      </c>
      <c r="T284" s="1026"/>
      <c r="U284" s="1026"/>
      <c r="V284" s="1027"/>
    </row>
    <row r="285" spans="2:22" ht="17.45" customHeight="1">
      <c r="B285" s="1028"/>
      <c r="C285" s="1029"/>
      <c r="D285" s="1029"/>
      <c r="E285" s="1029"/>
      <c r="F285" s="1029"/>
      <c r="G285" s="1029"/>
      <c r="H285" s="1029"/>
      <c r="I285" s="1029"/>
      <c r="J285" s="1029"/>
      <c r="K285" s="1029"/>
      <c r="L285" s="1029"/>
      <c r="M285" s="1029"/>
      <c r="N285" s="1029"/>
      <c r="O285" s="1029"/>
      <c r="P285" s="1029"/>
      <c r="Q285" s="1029"/>
      <c r="R285" s="1029"/>
      <c r="S285" s="1029"/>
      <c r="T285" s="1029"/>
      <c r="U285" s="1029"/>
      <c r="V285" s="1030"/>
    </row>
    <row r="286" spans="2:22" ht="17.45" customHeight="1">
      <c r="B286" s="1031"/>
      <c r="C286" s="1032"/>
      <c r="D286" s="1032"/>
      <c r="E286" s="1032"/>
      <c r="F286" s="1032"/>
      <c r="G286" s="1032"/>
      <c r="H286" s="1032"/>
      <c r="I286" s="1033" t="s">
        <v>348</v>
      </c>
      <c r="J286" s="1033"/>
      <c r="K286" s="1033"/>
      <c r="L286" s="1033"/>
      <c r="M286" s="1033"/>
      <c r="N286" s="1033"/>
      <c r="O286" s="1033"/>
      <c r="P286" s="1033"/>
      <c r="Q286" s="1033"/>
      <c r="R286" s="1033"/>
      <c r="S286" s="1012">
        <f>S284</f>
        <v>2.6500210000000002</v>
      </c>
      <c r="T286" s="1012"/>
      <c r="U286" s="1012"/>
      <c r="V286" s="1013"/>
    </row>
    <row r="287" spans="2:22" ht="17.45" customHeight="1">
      <c r="B287" s="1031"/>
      <c r="C287" s="1032"/>
      <c r="D287" s="1032"/>
      <c r="E287" s="1032"/>
      <c r="F287" s="1032"/>
      <c r="G287" s="1032"/>
      <c r="H287" s="1033" t="s">
        <v>349</v>
      </c>
      <c r="I287" s="1033"/>
      <c r="J287" s="1033"/>
      <c r="K287" s="1033"/>
      <c r="L287" s="1033"/>
      <c r="M287" s="1035">
        <v>20.7</v>
      </c>
      <c r="N287" s="1035"/>
      <c r="O287" s="1035"/>
      <c r="P287" s="1036" t="s">
        <v>350</v>
      </c>
      <c r="Q287" s="1036"/>
      <c r="R287" s="1036"/>
      <c r="S287" s="1012">
        <f>TRUNC(S286*M287%,2)</f>
        <v>0.54</v>
      </c>
      <c r="T287" s="1012"/>
      <c r="U287" s="1012"/>
      <c r="V287" s="1013"/>
    </row>
    <row r="288" spans="2:22" ht="17.45" customHeight="1">
      <c r="B288" s="1014"/>
      <c r="C288" s="1015"/>
      <c r="D288" s="1015"/>
      <c r="E288" s="1015"/>
      <c r="F288" s="1015"/>
      <c r="G288" s="1015"/>
      <c r="H288" s="1015"/>
      <c r="I288" s="1016" t="s">
        <v>351</v>
      </c>
      <c r="J288" s="1016"/>
      <c r="K288" s="1016"/>
      <c r="L288" s="1016"/>
      <c r="M288" s="1016"/>
      <c r="N288" s="1016"/>
      <c r="O288" s="1016"/>
      <c r="P288" s="1016"/>
      <c r="Q288" s="1016"/>
      <c r="R288" s="1016"/>
      <c r="S288" s="1017">
        <f>S286+S287</f>
        <v>3.1900210000000002</v>
      </c>
      <c r="T288" s="1017"/>
      <c r="U288" s="1017"/>
      <c r="V288" s="1018"/>
    </row>
    <row r="289" spans="2:22" ht="144.94999999999999" customHeight="1">
      <c r="B289" s="214"/>
      <c r="V289" s="217"/>
    </row>
    <row r="290" spans="2:22" ht="144.94999999999999" customHeight="1">
      <c r="B290" s="214"/>
      <c r="V290" s="217"/>
    </row>
    <row r="291" spans="2:22" ht="184.5" customHeight="1">
      <c r="B291" s="214"/>
      <c r="V291" s="217"/>
    </row>
    <row r="292" spans="2:22" ht="17.45" customHeight="1">
      <c r="B292" s="214"/>
      <c r="C292" s="525"/>
      <c r="D292" s="526"/>
      <c r="E292" s="526"/>
      <c r="F292" s="526"/>
      <c r="G292" s="526"/>
      <c r="H292" s="526"/>
      <c r="I292" s="526"/>
      <c r="J292" s="526"/>
      <c r="K292" s="525"/>
      <c r="L292" s="525"/>
      <c r="M292" s="525"/>
      <c r="N292" s="525"/>
      <c r="O292" s="543"/>
      <c r="P292" s="543"/>
      <c r="Q292" s="543"/>
      <c r="R292" s="543"/>
      <c r="S292" s="525"/>
      <c r="T292" s="525"/>
      <c r="U292" s="525"/>
      <c r="V292" s="217"/>
    </row>
    <row r="293" spans="2:22" ht="17.45" customHeight="1">
      <c r="B293" s="514"/>
      <c r="C293" s="1063" t="s">
        <v>320</v>
      </c>
      <c r="D293" s="1063"/>
      <c r="E293" s="1063"/>
      <c r="F293" s="515"/>
      <c r="G293" s="1042" t="str">
        <f>G275</f>
        <v>Data Base: Dez./2022 (SINAPI) e Jul./2022 (SICRO) sem desoneração</v>
      </c>
      <c r="H293" s="1042"/>
      <c r="I293" s="1042"/>
      <c r="J293" s="1042"/>
      <c r="K293" s="1042"/>
      <c r="L293" s="1042"/>
      <c r="M293" s="516"/>
      <c r="N293" s="1043" t="s">
        <v>644</v>
      </c>
      <c r="O293" s="1043"/>
      <c r="P293" s="1043"/>
      <c r="Q293" s="1043"/>
      <c r="R293" s="1043"/>
      <c r="S293" s="1043"/>
      <c r="T293" s="1043"/>
      <c r="U293" s="1043"/>
      <c r="V293" s="517"/>
    </row>
    <row r="294" spans="2:22" ht="17.45" customHeight="1">
      <c r="B294" s="518"/>
      <c r="C294" s="1064" t="s">
        <v>321</v>
      </c>
      <c r="D294" s="1064"/>
      <c r="E294" s="1065" t="s">
        <v>444</v>
      </c>
      <c r="F294" s="1065"/>
      <c r="G294" s="1065"/>
      <c r="H294" s="1065"/>
      <c r="I294" s="1065"/>
      <c r="J294" s="1065"/>
      <c r="K294" s="1066" t="s">
        <v>322</v>
      </c>
      <c r="L294" s="1066"/>
      <c r="M294" s="211"/>
      <c r="N294" s="1067" t="s">
        <v>445</v>
      </c>
      <c r="O294" s="1067"/>
      <c r="P294" s="1067"/>
      <c r="Q294" s="541"/>
      <c r="R294" s="541"/>
      <c r="S294" s="211"/>
      <c r="T294" s="211"/>
      <c r="U294" s="211"/>
      <c r="V294" s="519"/>
    </row>
    <row r="295" spans="2:22" ht="17.45" customHeight="1">
      <c r="B295" s="520"/>
      <c r="C295" s="1064"/>
      <c r="D295" s="1064"/>
      <c r="E295" s="1065"/>
      <c r="F295" s="1065"/>
      <c r="G295" s="1065"/>
      <c r="H295" s="1065"/>
      <c r="I295" s="1065"/>
      <c r="J295" s="1065"/>
      <c r="K295" s="1068" t="s">
        <v>324</v>
      </c>
      <c r="L295" s="1068"/>
      <c r="M295" s="212"/>
      <c r="N295" s="1069">
        <v>1</v>
      </c>
      <c r="O295" s="1069"/>
      <c r="P295" s="1069"/>
      <c r="Q295" s="542"/>
      <c r="R295" s="1068" t="s">
        <v>325</v>
      </c>
      <c r="S295" s="1068"/>
      <c r="T295" s="212"/>
      <c r="U295" s="213" t="s">
        <v>332</v>
      </c>
      <c r="V295" s="521"/>
    </row>
    <row r="296" spans="2:22" ht="17.45" customHeight="1">
      <c r="B296" s="1050" t="s">
        <v>327</v>
      </c>
      <c r="C296" s="1051"/>
      <c r="D296" s="1052" t="s">
        <v>234</v>
      </c>
      <c r="E296" s="1052"/>
      <c r="F296" s="1052"/>
      <c r="G296" s="1052"/>
      <c r="H296" s="1052"/>
      <c r="I296" s="1052"/>
      <c r="J296" s="1051" t="s">
        <v>241</v>
      </c>
      <c r="K296" s="1051"/>
      <c r="L296" s="1051" t="s">
        <v>245</v>
      </c>
      <c r="M296" s="1051"/>
      <c r="N296" s="1051"/>
      <c r="O296" s="1053" t="s">
        <v>328</v>
      </c>
      <c r="P296" s="1053"/>
      <c r="Q296" s="1053"/>
      <c r="R296" s="1053"/>
      <c r="S296" s="1052" t="s">
        <v>329</v>
      </c>
      <c r="T296" s="1052"/>
      <c r="U296" s="1052"/>
      <c r="V296" s="1054"/>
    </row>
    <row r="297" spans="2:22" ht="17.45" customHeight="1">
      <c r="B297" s="522"/>
      <c r="C297" s="264">
        <v>5835</v>
      </c>
      <c r="D297" s="1055" t="s">
        <v>446</v>
      </c>
      <c r="E297" s="1055"/>
      <c r="F297" s="1055"/>
      <c r="G297" s="1055"/>
      <c r="H297" s="1055"/>
      <c r="I297" s="1055"/>
      <c r="J297" s="1060" t="s">
        <v>397</v>
      </c>
      <c r="K297" s="1060"/>
      <c r="L297" s="1056">
        <v>5.8000000000000003E-2</v>
      </c>
      <c r="M297" s="1056"/>
      <c r="N297" s="1056"/>
      <c r="O297" s="1010">
        <v>389.88</v>
      </c>
      <c r="P297" s="1010"/>
      <c r="Q297" s="1010"/>
      <c r="R297" s="1010"/>
      <c r="S297" s="1061">
        <f>L297*O297</f>
        <v>22.613040000000002</v>
      </c>
      <c r="T297" s="1061"/>
      <c r="U297" s="1061"/>
      <c r="V297" s="1062"/>
    </row>
    <row r="298" spans="2:22" ht="17.45" customHeight="1">
      <c r="B298" s="523"/>
      <c r="C298" s="263" t="s">
        <v>447</v>
      </c>
      <c r="D298" s="1037" t="s">
        <v>446</v>
      </c>
      <c r="E298" s="1037"/>
      <c r="F298" s="1037"/>
      <c r="G298" s="1037"/>
      <c r="H298" s="1037"/>
      <c r="I298" s="1037"/>
      <c r="J298" s="1038" t="s">
        <v>404</v>
      </c>
      <c r="K298" s="1038"/>
      <c r="L298" s="1039">
        <v>0.1186</v>
      </c>
      <c r="M298" s="1039"/>
      <c r="N298" s="1039"/>
      <c r="O298" s="1040">
        <v>136.33000000000001</v>
      </c>
      <c r="P298" s="1040"/>
      <c r="Q298" s="1040"/>
      <c r="R298" s="1040"/>
      <c r="S298" s="1011">
        <f t="shared" ref="S298:S307" si="10">L298*O298</f>
        <v>16.168738000000001</v>
      </c>
      <c r="T298" s="1012"/>
      <c r="U298" s="1012"/>
      <c r="V298" s="1013"/>
    </row>
    <row r="299" spans="2:22" ht="17.45" customHeight="1">
      <c r="B299" s="523"/>
      <c r="C299" s="263" t="s">
        <v>448</v>
      </c>
      <c r="D299" s="1037" t="s">
        <v>449</v>
      </c>
      <c r="E299" s="1037"/>
      <c r="F299" s="1037"/>
      <c r="G299" s="1037"/>
      <c r="H299" s="1037"/>
      <c r="I299" s="1037"/>
      <c r="J299" s="1038" t="s">
        <v>335</v>
      </c>
      <c r="K299" s="1038"/>
      <c r="L299" s="1039">
        <v>1.4126000000000001</v>
      </c>
      <c r="M299" s="1039"/>
      <c r="N299" s="1039"/>
      <c r="O299" s="1040">
        <v>16.190000000000001</v>
      </c>
      <c r="P299" s="1040"/>
      <c r="Q299" s="1040"/>
      <c r="R299" s="1040"/>
      <c r="S299" s="1011">
        <f t="shared" si="10"/>
        <v>22.869994000000002</v>
      </c>
      <c r="T299" s="1012"/>
      <c r="U299" s="1012"/>
      <c r="V299" s="1013"/>
    </row>
    <row r="300" spans="2:22" ht="17.45" customHeight="1">
      <c r="B300" s="523"/>
      <c r="C300" s="263">
        <v>91386</v>
      </c>
      <c r="D300" s="1037" t="s">
        <v>403</v>
      </c>
      <c r="E300" s="1037"/>
      <c r="F300" s="1037"/>
      <c r="G300" s="1037"/>
      <c r="H300" s="1037"/>
      <c r="I300" s="1037"/>
      <c r="J300" s="1038" t="s">
        <v>397</v>
      </c>
      <c r="K300" s="1038"/>
      <c r="L300" s="1039">
        <v>5.8000000000000003E-2</v>
      </c>
      <c r="M300" s="1039"/>
      <c r="N300" s="1039"/>
      <c r="O300" s="1040">
        <v>250.76</v>
      </c>
      <c r="P300" s="1040"/>
      <c r="Q300" s="1040"/>
      <c r="R300" s="1040"/>
      <c r="S300" s="1011">
        <f t="shared" si="10"/>
        <v>14.544080000000001</v>
      </c>
      <c r="T300" s="1012"/>
      <c r="U300" s="1012"/>
      <c r="V300" s="1013"/>
    </row>
    <row r="301" spans="2:22" ht="17.45" customHeight="1">
      <c r="B301" s="523"/>
      <c r="C301" s="263">
        <v>95631</v>
      </c>
      <c r="D301" s="1037" t="s">
        <v>450</v>
      </c>
      <c r="E301" s="1037"/>
      <c r="F301" s="1037"/>
      <c r="G301" s="1037"/>
      <c r="H301" s="1037"/>
      <c r="I301" s="1037"/>
      <c r="J301" s="1038" t="s">
        <v>397</v>
      </c>
      <c r="K301" s="1038"/>
      <c r="L301" s="1039">
        <v>9.5100000000000004E-2</v>
      </c>
      <c r="M301" s="1039"/>
      <c r="N301" s="1039"/>
      <c r="O301" s="1040">
        <v>233</v>
      </c>
      <c r="P301" s="1040"/>
      <c r="Q301" s="1040"/>
      <c r="R301" s="1040"/>
      <c r="S301" s="1011">
        <f t="shared" si="10"/>
        <v>22.158300000000001</v>
      </c>
      <c r="T301" s="1012"/>
      <c r="U301" s="1012"/>
      <c r="V301" s="1013"/>
    </row>
    <row r="302" spans="2:22" ht="17.45" customHeight="1">
      <c r="B302" s="523"/>
      <c r="C302" s="263" t="s">
        <v>451</v>
      </c>
      <c r="D302" s="1037" t="s">
        <v>450</v>
      </c>
      <c r="E302" s="1037"/>
      <c r="F302" s="1037"/>
      <c r="G302" s="1037"/>
      <c r="H302" s="1037"/>
      <c r="I302" s="1037"/>
      <c r="J302" s="1038" t="s">
        <v>404</v>
      </c>
      <c r="K302" s="1038"/>
      <c r="L302" s="1039">
        <v>8.1500000000000003E-2</v>
      </c>
      <c r="M302" s="1039"/>
      <c r="N302" s="1039"/>
      <c r="O302" s="1040">
        <v>73.87</v>
      </c>
      <c r="P302" s="1040"/>
      <c r="Q302" s="1040"/>
      <c r="R302" s="1040"/>
      <c r="S302" s="1011">
        <f t="shared" si="10"/>
        <v>6.0204050000000002</v>
      </c>
      <c r="T302" s="1012"/>
      <c r="U302" s="1012"/>
      <c r="V302" s="1013"/>
    </row>
    <row r="303" spans="2:22" ht="17.45" customHeight="1">
      <c r="B303" s="523"/>
      <c r="C303" s="263" t="s">
        <v>452</v>
      </c>
      <c r="D303" s="1037" t="s">
        <v>414</v>
      </c>
      <c r="E303" s="1037"/>
      <c r="F303" s="1037"/>
      <c r="G303" s="1037"/>
      <c r="H303" s="1037"/>
      <c r="I303" s="1037"/>
      <c r="J303" s="1038" t="s">
        <v>397</v>
      </c>
      <c r="K303" s="1038"/>
      <c r="L303" s="1039">
        <v>4.2700000000000002E-2</v>
      </c>
      <c r="M303" s="1039"/>
      <c r="N303" s="1039"/>
      <c r="O303" s="1040">
        <v>135.11000000000001</v>
      </c>
      <c r="P303" s="1040"/>
      <c r="Q303" s="1040"/>
      <c r="R303" s="1040"/>
      <c r="S303" s="1011">
        <f t="shared" si="10"/>
        <v>5.769197000000001</v>
      </c>
      <c r="T303" s="1012"/>
      <c r="U303" s="1012"/>
      <c r="V303" s="1013"/>
    </row>
    <row r="304" spans="2:22" ht="17.45" customHeight="1">
      <c r="B304" s="523"/>
      <c r="C304" s="263">
        <v>96155</v>
      </c>
      <c r="D304" s="1037" t="s">
        <v>414</v>
      </c>
      <c r="E304" s="1037"/>
      <c r="F304" s="1037"/>
      <c r="G304" s="1037"/>
      <c r="H304" s="1037"/>
      <c r="I304" s="1037"/>
      <c r="J304" s="1038" t="s">
        <v>404</v>
      </c>
      <c r="K304" s="1038"/>
      <c r="L304" s="1039">
        <v>0.13389999999999999</v>
      </c>
      <c r="M304" s="1039"/>
      <c r="N304" s="1039"/>
      <c r="O304" s="1040">
        <v>40.200000000000003</v>
      </c>
      <c r="P304" s="1040"/>
      <c r="Q304" s="1040"/>
      <c r="R304" s="1040"/>
      <c r="S304" s="1011">
        <f t="shared" si="10"/>
        <v>5.3827800000000003</v>
      </c>
      <c r="T304" s="1012"/>
      <c r="U304" s="1012"/>
      <c r="V304" s="1013"/>
    </row>
    <row r="305" spans="2:22" ht="17.45" customHeight="1">
      <c r="B305" s="523"/>
      <c r="C305" s="263" t="s">
        <v>425</v>
      </c>
      <c r="D305" s="1037" t="s">
        <v>426</v>
      </c>
      <c r="E305" s="1037"/>
      <c r="F305" s="1037"/>
      <c r="G305" s="1037"/>
      <c r="H305" s="1037"/>
      <c r="I305" s="1037"/>
      <c r="J305" s="1038" t="s">
        <v>397</v>
      </c>
      <c r="K305" s="1038"/>
      <c r="L305" s="1039">
        <v>4.9500000000000002E-2</v>
      </c>
      <c r="M305" s="1039"/>
      <c r="N305" s="1039"/>
      <c r="O305" s="1040">
        <v>217.73</v>
      </c>
      <c r="P305" s="1040"/>
      <c r="Q305" s="1040"/>
      <c r="R305" s="1040"/>
      <c r="S305" s="1011">
        <f t="shared" si="10"/>
        <v>10.777635</v>
      </c>
      <c r="T305" s="1012"/>
      <c r="U305" s="1012"/>
      <c r="V305" s="1013"/>
    </row>
    <row r="306" spans="2:22" ht="17.45" customHeight="1">
      <c r="B306" s="523"/>
      <c r="C306" s="263" t="s">
        <v>427</v>
      </c>
      <c r="D306" s="1037" t="s">
        <v>426</v>
      </c>
      <c r="E306" s="1037"/>
      <c r="F306" s="1037"/>
      <c r="G306" s="1037"/>
      <c r="H306" s="1037"/>
      <c r="I306" s="1037"/>
      <c r="J306" s="1038" t="s">
        <v>404</v>
      </c>
      <c r="K306" s="1038"/>
      <c r="L306" s="1039">
        <v>0.30370000000000003</v>
      </c>
      <c r="M306" s="1039"/>
      <c r="N306" s="1039"/>
      <c r="O306" s="1040">
        <v>79.92</v>
      </c>
      <c r="P306" s="1040"/>
      <c r="Q306" s="1040"/>
      <c r="R306" s="1040"/>
      <c r="S306" s="1011">
        <f t="shared" si="10"/>
        <v>24.271704000000003</v>
      </c>
      <c r="T306" s="1012"/>
      <c r="U306" s="1012"/>
      <c r="V306" s="1013"/>
    </row>
    <row r="307" spans="2:22" ht="17.45" customHeight="1">
      <c r="B307" s="524"/>
      <c r="C307" s="262">
        <v>1518</v>
      </c>
      <c r="D307" s="1019" t="s">
        <v>453</v>
      </c>
      <c r="E307" s="1019"/>
      <c r="F307" s="1019"/>
      <c r="G307" s="1019"/>
      <c r="H307" s="1019"/>
      <c r="I307" s="1019"/>
      <c r="J307" s="1020" t="s">
        <v>454</v>
      </c>
      <c r="K307" s="1020"/>
      <c r="L307" s="1021">
        <v>2.5548000000000002</v>
      </c>
      <c r="M307" s="1021"/>
      <c r="N307" s="1021"/>
      <c r="O307" s="1022">
        <v>524</v>
      </c>
      <c r="P307" s="1022"/>
      <c r="Q307" s="1022"/>
      <c r="R307" s="1022"/>
      <c r="S307" s="1057">
        <f t="shared" si="10"/>
        <v>1338.7152000000001</v>
      </c>
      <c r="T307" s="1058"/>
      <c r="U307" s="1058"/>
      <c r="V307" s="1059"/>
    </row>
    <row r="308" spans="2:22" ht="17.45" customHeight="1">
      <c r="B308" s="1023"/>
      <c r="C308" s="1024"/>
      <c r="D308" s="1024"/>
      <c r="E308" s="1024"/>
      <c r="F308" s="1024"/>
      <c r="G308" s="1024"/>
      <c r="H308" s="1024"/>
      <c r="I308" s="1025" t="s">
        <v>347</v>
      </c>
      <c r="J308" s="1025"/>
      <c r="K308" s="1025"/>
      <c r="L308" s="1025"/>
      <c r="M308" s="1025"/>
      <c r="N308" s="1025"/>
      <c r="O308" s="1025"/>
      <c r="P308" s="1025"/>
      <c r="Q308" s="1025"/>
      <c r="R308" s="1025"/>
      <c r="S308" s="1026">
        <f>SUM(S297:V307)</f>
        <v>1489.2910730000001</v>
      </c>
      <c r="T308" s="1026"/>
      <c r="U308" s="1026"/>
      <c r="V308" s="1027"/>
    </row>
    <row r="309" spans="2:22" ht="17.45" customHeight="1">
      <c r="B309" s="1028"/>
      <c r="C309" s="1029"/>
      <c r="D309" s="1029"/>
      <c r="E309" s="1029"/>
      <c r="F309" s="1029"/>
      <c r="G309" s="1029"/>
      <c r="H309" s="1029"/>
      <c r="I309" s="1029"/>
      <c r="J309" s="1029"/>
      <c r="K309" s="1029"/>
      <c r="L309" s="1029"/>
      <c r="M309" s="1029"/>
      <c r="N309" s="1029"/>
      <c r="O309" s="1029"/>
      <c r="P309" s="1029"/>
      <c r="Q309" s="1029"/>
      <c r="R309" s="1029"/>
      <c r="S309" s="1029"/>
      <c r="T309" s="1029"/>
      <c r="U309" s="1029"/>
      <c r="V309" s="1030"/>
    </row>
    <row r="310" spans="2:22" ht="17.45" customHeight="1">
      <c r="B310" s="1031"/>
      <c r="C310" s="1032"/>
      <c r="D310" s="1032"/>
      <c r="E310" s="1032"/>
      <c r="F310" s="1032"/>
      <c r="G310" s="1032"/>
      <c r="H310" s="1032"/>
      <c r="I310" s="1033" t="s">
        <v>348</v>
      </c>
      <c r="J310" s="1033"/>
      <c r="K310" s="1033"/>
      <c r="L310" s="1033"/>
      <c r="M310" s="1033"/>
      <c r="N310" s="1033"/>
      <c r="O310" s="1033"/>
      <c r="P310" s="1033"/>
      <c r="Q310" s="1033"/>
      <c r="R310" s="1033"/>
      <c r="S310" s="1012">
        <f>S308</f>
        <v>1489.2910730000001</v>
      </c>
      <c r="T310" s="1012"/>
      <c r="U310" s="1012"/>
      <c r="V310" s="1013"/>
    </row>
    <row r="311" spans="2:22" ht="17.45" customHeight="1">
      <c r="B311" s="1031"/>
      <c r="C311" s="1032"/>
      <c r="D311" s="1032"/>
      <c r="E311" s="1032"/>
      <c r="F311" s="1032"/>
      <c r="G311" s="1032"/>
      <c r="H311" s="1033" t="s">
        <v>349</v>
      </c>
      <c r="I311" s="1033"/>
      <c r="J311" s="1033"/>
      <c r="K311" s="1033"/>
      <c r="L311" s="1033"/>
      <c r="M311" s="1035">
        <v>20.7</v>
      </c>
      <c r="N311" s="1035"/>
      <c r="O311" s="1035"/>
      <c r="P311" s="1036" t="s">
        <v>350</v>
      </c>
      <c r="Q311" s="1036"/>
      <c r="R311" s="1036"/>
      <c r="S311" s="1012">
        <f>TRUNC(S310*M311%,2)</f>
        <v>308.27999999999997</v>
      </c>
      <c r="T311" s="1012"/>
      <c r="U311" s="1012"/>
      <c r="V311" s="1013"/>
    </row>
    <row r="312" spans="2:22" ht="17.45" customHeight="1">
      <c r="B312" s="1014"/>
      <c r="C312" s="1015"/>
      <c r="D312" s="1015"/>
      <c r="E312" s="1015"/>
      <c r="F312" s="1015"/>
      <c r="G312" s="1015"/>
      <c r="H312" s="1015"/>
      <c r="I312" s="1016" t="s">
        <v>351</v>
      </c>
      <c r="J312" s="1016"/>
      <c r="K312" s="1016"/>
      <c r="L312" s="1016"/>
      <c r="M312" s="1016"/>
      <c r="N312" s="1016"/>
      <c r="O312" s="1016"/>
      <c r="P312" s="1016"/>
      <c r="Q312" s="1016"/>
      <c r="R312" s="1016"/>
      <c r="S312" s="1017">
        <f>S310+S311</f>
        <v>1797.5710730000001</v>
      </c>
      <c r="T312" s="1017"/>
      <c r="U312" s="1017"/>
      <c r="V312" s="1018"/>
    </row>
    <row r="313" spans="2:22" ht="144.94999999999999" customHeight="1">
      <c r="B313" s="214"/>
      <c r="V313" s="217"/>
    </row>
    <row r="314" spans="2:22" ht="88.5" customHeight="1">
      <c r="B314" s="214"/>
      <c r="V314" s="217"/>
    </row>
    <row r="315" spans="2:22" ht="144.94999999999999" customHeight="1">
      <c r="B315" s="214"/>
      <c r="V315" s="217"/>
    </row>
    <row r="316" spans="2:22" ht="17.45" customHeight="1">
      <c r="B316" s="214"/>
      <c r="C316" s="525"/>
      <c r="D316" s="526"/>
      <c r="E316" s="526"/>
      <c r="F316" s="526"/>
      <c r="G316" s="526"/>
      <c r="H316" s="526"/>
      <c r="I316" s="526"/>
      <c r="J316" s="526"/>
      <c r="K316" s="525"/>
      <c r="L316" s="525"/>
      <c r="M316" s="525"/>
      <c r="N316" s="525"/>
      <c r="O316" s="543"/>
      <c r="P316" s="543"/>
      <c r="Q316" s="543"/>
      <c r="R316" s="543"/>
      <c r="S316" s="525"/>
      <c r="T316" s="525"/>
      <c r="U316" s="525"/>
      <c r="V316" s="217"/>
    </row>
    <row r="317" spans="2:22" ht="17.45" customHeight="1">
      <c r="B317" s="514"/>
      <c r="C317" s="1063" t="s">
        <v>320</v>
      </c>
      <c r="D317" s="1063"/>
      <c r="E317" s="1063"/>
      <c r="F317" s="515"/>
      <c r="G317" s="1042" t="str">
        <f>G293</f>
        <v>Data Base: Dez./2022 (SINAPI) e Jul./2022 (SICRO) sem desoneração</v>
      </c>
      <c r="H317" s="1042"/>
      <c r="I317" s="1042"/>
      <c r="J317" s="1042"/>
      <c r="K317" s="1042"/>
      <c r="L317" s="1042"/>
      <c r="M317" s="516"/>
      <c r="N317" s="1043" t="s">
        <v>644</v>
      </c>
      <c r="O317" s="1043"/>
      <c r="P317" s="1043"/>
      <c r="Q317" s="1043"/>
      <c r="R317" s="1043"/>
      <c r="S317" s="1043"/>
      <c r="T317" s="1043"/>
      <c r="U317" s="1043"/>
      <c r="V317" s="517"/>
    </row>
    <row r="318" spans="2:22" ht="17.45" customHeight="1">
      <c r="B318" s="518"/>
      <c r="C318" s="1064" t="s">
        <v>321</v>
      </c>
      <c r="D318" s="1064"/>
      <c r="E318" s="1065" t="s">
        <v>455</v>
      </c>
      <c r="F318" s="1065"/>
      <c r="G318" s="1065"/>
      <c r="H318" s="1065"/>
      <c r="I318" s="1065"/>
      <c r="J318" s="1065"/>
      <c r="K318" s="1066" t="s">
        <v>322</v>
      </c>
      <c r="L318" s="1066"/>
      <c r="M318" s="211"/>
      <c r="N318" s="1067" t="s">
        <v>456</v>
      </c>
      <c r="O318" s="1067"/>
      <c r="P318" s="1067"/>
      <c r="Q318" s="541"/>
      <c r="R318" s="541"/>
      <c r="S318" s="211"/>
      <c r="T318" s="211"/>
      <c r="U318" s="211"/>
      <c r="V318" s="519"/>
    </row>
    <row r="319" spans="2:22" ht="17.45" customHeight="1">
      <c r="B319" s="520"/>
      <c r="C319" s="1064"/>
      <c r="D319" s="1064"/>
      <c r="E319" s="1065"/>
      <c r="F319" s="1065"/>
      <c r="G319" s="1065"/>
      <c r="H319" s="1065"/>
      <c r="I319" s="1065"/>
      <c r="J319" s="1065"/>
      <c r="K319" s="1068" t="s">
        <v>324</v>
      </c>
      <c r="L319" s="1068"/>
      <c r="M319" s="212"/>
      <c r="N319" s="1069">
        <v>1</v>
      </c>
      <c r="O319" s="1069"/>
      <c r="P319" s="1069"/>
      <c r="Q319" s="542"/>
      <c r="R319" s="1068" t="s">
        <v>325</v>
      </c>
      <c r="S319" s="1068"/>
      <c r="T319" s="212"/>
      <c r="U319" s="213" t="s">
        <v>332</v>
      </c>
      <c r="V319" s="521"/>
    </row>
    <row r="320" spans="2:22" ht="17.45" customHeight="1">
      <c r="B320" s="1050" t="s">
        <v>327</v>
      </c>
      <c r="C320" s="1051"/>
      <c r="D320" s="1052" t="s">
        <v>234</v>
      </c>
      <c r="E320" s="1052"/>
      <c r="F320" s="1052"/>
      <c r="G320" s="1052"/>
      <c r="H320" s="1052"/>
      <c r="I320" s="1052"/>
      <c r="J320" s="1051" t="s">
        <v>241</v>
      </c>
      <c r="K320" s="1051"/>
      <c r="L320" s="1051" t="s">
        <v>245</v>
      </c>
      <c r="M320" s="1051"/>
      <c r="N320" s="1051"/>
      <c r="O320" s="1053" t="s">
        <v>328</v>
      </c>
      <c r="P320" s="1053"/>
      <c r="Q320" s="1053"/>
      <c r="R320" s="1053"/>
      <c r="S320" s="1052" t="s">
        <v>329</v>
      </c>
      <c r="T320" s="1052"/>
      <c r="U320" s="1052"/>
      <c r="V320" s="1054"/>
    </row>
    <row r="321" spans="2:22" ht="17.45" customHeight="1">
      <c r="B321" s="527"/>
      <c r="C321" s="265">
        <v>5811</v>
      </c>
      <c r="D321" s="1072" t="s">
        <v>458</v>
      </c>
      <c r="E321" s="1072"/>
      <c r="F321" s="1072"/>
      <c r="G321" s="1072"/>
      <c r="H321" s="1072"/>
      <c r="I321" s="1072"/>
      <c r="J321" s="1073" t="s">
        <v>397</v>
      </c>
      <c r="K321" s="1073"/>
      <c r="L321" s="1074">
        <v>3.4799999999999998E-2</v>
      </c>
      <c r="M321" s="1074"/>
      <c r="N321" s="1074"/>
      <c r="O321" s="1075">
        <v>187.95</v>
      </c>
      <c r="P321" s="1075"/>
      <c r="Q321" s="1075"/>
      <c r="R321" s="1075"/>
      <c r="S321" s="1076">
        <f>L321*O321</f>
        <v>6.540659999999999</v>
      </c>
      <c r="T321" s="1076"/>
      <c r="U321" s="1076"/>
      <c r="V321" s="1077"/>
    </row>
    <row r="322" spans="2:22" ht="17.45" customHeight="1">
      <c r="B322" s="1023"/>
      <c r="C322" s="1024"/>
      <c r="D322" s="1024"/>
      <c r="E322" s="1024"/>
      <c r="F322" s="1024"/>
      <c r="G322" s="1024"/>
      <c r="H322" s="1024"/>
      <c r="I322" s="1025" t="s">
        <v>347</v>
      </c>
      <c r="J322" s="1025"/>
      <c r="K322" s="1025"/>
      <c r="L322" s="1025"/>
      <c r="M322" s="1025"/>
      <c r="N322" s="1025"/>
      <c r="O322" s="1025"/>
      <c r="P322" s="1025"/>
      <c r="Q322" s="1025"/>
      <c r="R322" s="1025"/>
      <c r="S322" s="1026">
        <f>SUM(S321)</f>
        <v>6.540659999999999</v>
      </c>
      <c r="T322" s="1026"/>
      <c r="U322" s="1026"/>
      <c r="V322" s="1027"/>
    </row>
    <row r="323" spans="2:22" ht="17.45" customHeight="1">
      <c r="B323" s="1028"/>
      <c r="C323" s="1029"/>
      <c r="D323" s="1029"/>
      <c r="E323" s="1029"/>
      <c r="F323" s="1029"/>
      <c r="G323" s="1029"/>
      <c r="H323" s="1029"/>
      <c r="I323" s="1029"/>
      <c r="J323" s="1029"/>
      <c r="K323" s="1029"/>
      <c r="L323" s="1029"/>
      <c r="M323" s="1029"/>
      <c r="N323" s="1029"/>
      <c r="O323" s="1029"/>
      <c r="P323" s="1029"/>
      <c r="Q323" s="1029"/>
      <c r="R323" s="1029"/>
      <c r="S323" s="1029"/>
      <c r="T323" s="1029"/>
      <c r="U323" s="1029"/>
      <c r="V323" s="1030"/>
    </row>
    <row r="324" spans="2:22" ht="17.45" customHeight="1">
      <c r="B324" s="1031"/>
      <c r="C324" s="1032"/>
      <c r="D324" s="1032"/>
      <c r="E324" s="1032"/>
      <c r="F324" s="1032"/>
      <c r="G324" s="1032"/>
      <c r="H324" s="1032"/>
      <c r="I324" s="1033" t="s">
        <v>348</v>
      </c>
      <c r="J324" s="1033"/>
      <c r="K324" s="1033"/>
      <c r="L324" s="1033"/>
      <c r="M324" s="1033"/>
      <c r="N324" s="1033"/>
      <c r="O324" s="1033"/>
      <c r="P324" s="1033"/>
      <c r="Q324" s="1033"/>
      <c r="R324" s="1033"/>
      <c r="S324" s="1012">
        <f>S322</f>
        <v>6.540659999999999</v>
      </c>
      <c r="T324" s="1012"/>
      <c r="U324" s="1012"/>
      <c r="V324" s="1013"/>
    </row>
    <row r="325" spans="2:22" ht="17.45" customHeight="1">
      <c r="B325" s="1031"/>
      <c r="C325" s="1032"/>
      <c r="D325" s="1032"/>
      <c r="E325" s="1032"/>
      <c r="F325" s="1032"/>
      <c r="G325" s="1032"/>
      <c r="H325" s="1033" t="s">
        <v>349</v>
      </c>
      <c r="I325" s="1033"/>
      <c r="J325" s="1033"/>
      <c r="K325" s="1033"/>
      <c r="L325" s="1033"/>
      <c r="M325" s="1035">
        <v>20.7</v>
      </c>
      <c r="N325" s="1035"/>
      <c r="O325" s="1035"/>
      <c r="P325" s="1036" t="s">
        <v>350</v>
      </c>
      <c r="Q325" s="1036"/>
      <c r="R325" s="1036"/>
      <c r="S325" s="1012">
        <f>TRUNC(S324*M325%,2)</f>
        <v>1.35</v>
      </c>
      <c r="T325" s="1012"/>
      <c r="U325" s="1012"/>
      <c r="V325" s="1013"/>
    </row>
    <row r="326" spans="2:22" ht="17.45" customHeight="1">
      <c r="B326" s="1014"/>
      <c r="C326" s="1015"/>
      <c r="D326" s="1015"/>
      <c r="E326" s="1015"/>
      <c r="F326" s="1015"/>
      <c r="G326" s="1015"/>
      <c r="H326" s="1015"/>
      <c r="I326" s="1016" t="s">
        <v>351</v>
      </c>
      <c r="J326" s="1016"/>
      <c r="K326" s="1016"/>
      <c r="L326" s="1016"/>
      <c r="M326" s="1016"/>
      <c r="N326" s="1016"/>
      <c r="O326" s="1016"/>
      <c r="P326" s="1016"/>
      <c r="Q326" s="1016"/>
      <c r="R326" s="1016"/>
      <c r="S326" s="1017">
        <f>S324+S325</f>
        <v>7.8906599999999987</v>
      </c>
      <c r="T326" s="1017"/>
      <c r="U326" s="1017"/>
      <c r="V326" s="1018"/>
    </row>
    <row r="327" spans="2:22" ht="144.94999999999999" customHeight="1">
      <c r="B327" s="214"/>
      <c r="V327" s="217"/>
    </row>
    <row r="328" spans="2:22" ht="144.94999999999999" customHeight="1">
      <c r="B328" s="214"/>
      <c r="V328" s="217"/>
    </row>
    <row r="329" spans="2:22" ht="240.75" customHeight="1">
      <c r="B329" s="214"/>
      <c r="V329" s="217"/>
    </row>
    <row r="330" spans="2:22" ht="17.45" customHeight="1">
      <c r="B330" s="214"/>
      <c r="V330" s="217"/>
    </row>
    <row r="331" spans="2:22" ht="17.45" customHeight="1">
      <c r="B331" s="214"/>
      <c r="C331" s="525"/>
      <c r="D331" s="526"/>
      <c r="E331" s="526"/>
      <c r="F331" s="526"/>
      <c r="G331" s="526"/>
      <c r="H331" s="526"/>
      <c r="I331" s="526"/>
      <c r="J331" s="526"/>
      <c r="K331" s="525"/>
      <c r="L331" s="525"/>
      <c r="M331" s="525"/>
      <c r="N331" s="525"/>
      <c r="O331" s="543"/>
      <c r="P331" s="543"/>
      <c r="Q331" s="543"/>
      <c r="R331" s="543"/>
      <c r="S331" s="525"/>
      <c r="T331" s="525"/>
      <c r="U331" s="525"/>
      <c r="V331" s="217"/>
    </row>
    <row r="332" spans="2:22" ht="17.45" customHeight="1">
      <c r="B332" s="514"/>
      <c r="C332" s="1063" t="s">
        <v>320</v>
      </c>
      <c r="D332" s="1063"/>
      <c r="E332" s="1063"/>
      <c r="F332" s="515"/>
      <c r="G332" s="1042" t="str">
        <f>G317</f>
        <v>Data Base: Dez./2022 (SINAPI) e Jul./2022 (SICRO) sem desoneração</v>
      </c>
      <c r="H332" s="1042"/>
      <c r="I332" s="1042"/>
      <c r="J332" s="1042"/>
      <c r="K332" s="1042"/>
      <c r="L332" s="1042"/>
      <c r="M332" s="516"/>
      <c r="N332" s="1043" t="s">
        <v>644</v>
      </c>
      <c r="O332" s="1043"/>
      <c r="P332" s="1043"/>
      <c r="Q332" s="1043"/>
      <c r="R332" s="1043"/>
      <c r="S332" s="1043"/>
      <c r="T332" s="1043"/>
      <c r="U332" s="1043"/>
      <c r="V332" s="517"/>
    </row>
    <row r="333" spans="2:22" ht="17.45" customHeight="1">
      <c r="B333" s="518"/>
      <c r="C333" s="1064" t="s">
        <v>321</v>
      </c>
      <c r="D333" s="1064"/>
      <c r="E333" s="1065" t="s">
        <v>459</v>
      </c>
      <c r="F333" s="1065"/>
      <c r="G333" s="1065"/>
      <c r="H333" s="1065"/>
      <c r="I333" s="1065"/>
      <c r="J333" s="1065"/>
      <c r="K333" s="1066" t="s">
        <v>322</v>
      </c>
      <c r="L333" s="1066"/>
      <c r="M333" s="211"/>
      <c r="N333" s="1067" t="s">
        <v>460</v>
      </c>
      <c r="O333" s="1067"/>
      <c r="P333" s="1067"/>
      <c r="Q333" s="541"/>
      <c r="R333" s="541"/>
      <c r="S333" s="211"/>
      <c r="T333" s="211"/>
      <c r="U333" s="211"/>
      <c r="V333" s="519"/>
    </row>
    <row r="334" spans="2:22" ht="17.45" customHeight="1">
      <c r="B334" s="520"/>
      <c r="C334" s="1064"/>
      <c r="D334" s="1064"/>
      <c r="E334" s="1065"/>
      <c r="F334" s="1065"/>
      <c r="G334" s="1065"/>
      <c r="H334" s="1065"/>
      <c r="I334" s="1065"/>
      <c r="J334" s="1065"/>
      <c r="K334" s="1068" t="s">
        <v>324</v>
      </c>
      <c r="L334" s="1068"/>
      <c r="M334" s="212"/>
      <c r="N334" s="1069">
        <v>1</v>
      </c>
      <c r="O334" s="1069"/>
      <c r="P334" s="1069"/>
      <c r="Q334" s="542"/>
      <c r="R334" s="1068" t="s">
        <v>325</v>
      </c>
      <c r="S334" s="1068"/>
      <c r="T334" s="212"/>
      <c r="U334" s="213" t="s">
        <v>171</v>
      </c>
      <c r="V334" s="521"/>
    </row>
    <row r="335" spans="2:22" ht="17.45" customHeight="1">
      <c r="B335" s="1050" t="s">
        <v>327</v>
      </c>
      <c r="C335" s="1051"/>
      <c r="D335" s="1052" t="s">
        <v>234</v>
      </c>
      <c r="E335" s="1052"/>
      <c r="F335" s="1052"/>
      <c r="G335" s="1052"/>
      <c r="H335" s="1052"/>
      <c r="I335" s="1052"/>
      <c r="J335" s="1051" t="s">
        <v>241</v>
      </c>
      <c r="K335" s="1051"/>
      <c r="L335" s="1051" t="s">
        <v>245</v>
      </c>
      <c r="M335" s="1051"/>
      <c r="N335" s="1051"/>
      <c r="O335" s="1053" t="s">
        <v>328</v>
      </c>
      <c r="P335" s="1053"/>
      <c r="Q335" s="1053"/>
      <c r="R335" s="1053"/>
      <c r="S335" s="1052" t="s">
        <v>329</v>
      </c>
      <c r="T335" s="1052"/>
      <c r="U335" s="1052"/>
      <c r="V335" s="1054"/>
    </row>
    <row r="336" spans="2:22" ht="17.45" customHeight="1">
      <c r="B336" s="527"/>
      <c r="C336" s="265" t="s">
        <v>402</v>
      </c>
      <c r="D336" s="1072" t="s">
        <v>403</v>
      </c>
      <c r="E336" s="1072"/>
      <c r="F336" s="1072"/>
      <c r="G336" s="1072"/>
      <c r="H336" s="1072"/>
      <c r="I336" s="1072"/>
      <c r="J336" s="1073" t="s">
        <v>397</v>
      </c>
      <c r="K336" s="1073"/>
      <c r="L336" s="1074">
        <v>5.9172000000000001E-3</v>
      </c>
      <c r="M336" s="1074"/>
      <c r="N336" s="1074"/>
      <c r="O336" s="1075">
        <v>250.76</v>
      </c>
      <c r="P336" s="1075"/>
      <c r="Q336" s="1075"/>
      <c r="R336" s="1075"/>
      <c r="S336" s="1076">
        <f>L336*O336</f>
        <v>1.483797072</v>
      </c>
      <c r="T336" s="1076"/>
      <c r="U336" s="1076"/>
      <c r="V336" s="1077"/>
    </row>
    <row r="337" spans="2:22" ht="17.45" customHeight="1">
      <c r="B337" s="1023"/>
      <c r="C337" s="1024"/>
      <c r="D337" s="1024"/>
      <c r="E337" s="1024"/>
      <c r="F337" s="1024"/>
      <c r="G337" s="1024"/>
      <c r="H337" s="1024"/>
      <c r="I337" s="1025" t="s">
        <v>347</v>
      </c>
      <c r="J337" s="1025"/>
      <c r="K337" s="1025"/>
      <c r="L337" s="1025"/>
      <c r="M337" s="1025"/>
      <c r="N337" s="1025"/>
      <c r="O337" s="1025"/>
      <c r="P337" s="1025"/>
      <c r="Q337" s="1025"/>
      <c r="R337" s="1025"/>
      <c r="S337" s="1026">
        <f>SUM(S336)</f>
        <v>1.483797072</v>
      </c>
      <c r="T337" s="1026"/>
      <c r="U337" s="1026"/>
      <c r="V337" s="1027"/>
    </row>
    <row r="338" spans="2:22" ht="17.45" customHeight="1">
      <c r="B338" s="1028"/>
      <c r="C338" s="1029"/>
      <c r="D338" s="1029"/>
      <c r="E338" s="1029"/>
      <c r="F338" s="1029"/>
      <c r="G338" s="1029"/>
      <c r="H338" s="1029"/>
      <c r="I338" s="1029"/>
      <c r="J338" s="1029"/>
      <c r="K338" s="1029"/>
      <c r="L338" s="1029"/>
      <c r="M338" s="1029"/>
      <c r="N338" s="1029"/>
      <c r="O338" s="1029"/>
      <c r="P338" s="1029"/>
      <c r="Q338" s="1029"/>
      <c r="R338" s="1029"/>
      <c r="S338" s="1029"/>
      <c r="T338" s="1029"/>
      <c r="U338" s="1029"/>
      <c r="V338" s="1030"/>
    </row>
    <row r="339" spans="2:22" ht="17.45" customHeight="1">
      <c r="B339" s="1031"/>
      <c r="C339" s="1032"/>
      <c r="D339" s="1032"/>
      <c r="E339" s="1032"/>
      <c r="F339" s="1032"/>
      <c r="G339" s="1032"/>
      <c r="H339" s="1032"/>
      <c r="I339" s="1033" t="s">
        <v>348</v>
      </c>
      <c r="J339" s="1033"/>
      <c r="K339" s="1033"/>
      <c r="L339" s="1033"/>
      <c r="M339" s="1033"/>
      <c r="N339" s="1033"/>
      <c r="O339" s="1033"/>
      <c r="P339" s="1033"/>
      <c r="Q339" s="1033"/>
      <c r="R339" s="1033"/>
      <c r="S339" s="1012">
        <f>S337</f>
        <v>1.483797072</v>
      </c>
      <c r="T339" s="1012"/>
      <c r="U339" s="1012"/>
      <c r="V339" s="1013"/>
    </row>
    <row r="340" spans="2:22" ht="17.45" customHeight="1">
      <c r="B340" s="1031"/>
      <c r="C340" s="1032"/>
      <c r="D340" s="1032"/>
      <c r="E340" s="1032"/>
      <c r="F340" s="1032"/>
      <c r="G340" s="1032"/>
      <c r="H340" s="1033" t="s">
        <v>349</v>
      </c>
      <c r="I340" s="1033"/>
      <c r="J340" s="1033"/>
      <c r="K340" s="1033"/>
      <c r="L340" s="1033"/>
      <c r="M340" s="1035">
        <v>20.7</v>
      </c>
      <c r="N340" s="1035"/>
      <c r="O340" s="1035"/>
      <c r="P340" s="1036" t="s">
        <v>350</v>
      </c>
      <c r="Q340" s="1036"/>
      <c r="R340" s="1036"/>
      <c r="S340" s="1012">
        <f>TRUNC(S339*M340%,2)</f>
        <v>0.3</v>
      </c>
      <c r="T340" s="1012"/>
      <c r="U340" s="1012"/>
      <c r="V340" s="1013"/>
    </row>
    <row r="341" spans="2:22" ht="17.45" customHeight="1">
      <c r="B341" s="1014"/>
      <c r="C341" s="1015"/>
      <c r="D341" s="1015"/>
      <c r="E341" s="1015"/>
      <c r="F341" s="1015"/>
      <c r="G341" s="1015"/>
      <c r="H341" s="1015"/>
      <c r="I341" s="1016" t="s">
        <v>351</v>
      </c>
      <c r="J341" s="1016"/>
      <c r="K341" s="1016"/>
      <c r="L341" s="1016"/>
      <c r="M341" s="1016"/>
      <c r="N341" s="1016"/>
      <c r="O341" s="1016"/>
      <c r="P341" s="1016"/>
      <c r="Q341" s="1016"/>
      <c r="R341" s="1016"/>
      <c r="S341" s="1017">
        <f>S339+S340</f>
        <v>1.783797072</v>
      </c>
      <c r="T341" s="1017"/>
      <c r="U341" s="1017"/>
      <c r="V341" s="1018"/>
    </row>
    <row r="342" spans="2:22" ht="144.94999999999999" customHeight="1">
      <c r="B342" s="214"/>
      <c r="V342" s="217"/>
    </row>
    <row r="343" spans="2:22" ht="144.94999999999999" customHeight="1">
      <c r="B343" s="214"/>
      <c r="V343" s="217"/>
    </row>
    <row r="344" spans="2:22" ht="144.94999999999999" customHeight="1">
      <c r="B344" s="214"/>
      <c r="V344" s="217"/>
    </row>
    <row r="345" spans="2:22" ht="107.25" customHeight="1">
      <c r="B345" s="214"/>
      <c r="V345" s="217"/>
    </row>
    <row r="346" spans="2:22" ht="17.45" customHeight="1">
      <c r="B346" s="214"/>
      <c r="C346" s="525"/>
      <c r="D346" s="526"/>
      <c r="E346" s="526"/>
      <c r="F346" s="526"/>
      <c r="G346" s="526"/>
      <c r="H346" s="526"/>
      <c r="I346" s="526"/>
      <c r="J346" s="526"/>
      <c r="K346" s="525"/>
      <c r="L346" s="525"/>
      <c r="M346" s="525"/>
      <c r="N346" s="525"/>
      <c r="O346" s="543"/>
      <c r="P346" s="543"/>
      <c r="Q346" s="543"/>
      <c r="R346" s="543"/>
      <c r="S346" s="525"/>
      <c r="T346" s="525"/>
      <c r="U346" s="525"/>
      <c r="V346" s="217"/>
    </row>
    <row r="347" spans="2:22" ht="17.45" customHeight="1">
      <c r="B347" s="514"/>
      <c r="C347" s="1063" t="s">
        <v>320</v>
      </c>
      <c r="D347" s="1063"/>
      <c r="E347" s="1063"/>
      <c r="F347" s="515"/>
      <c r="G347" s="1042" t="str">
        <f>G332</f>
        <v>Data Base: Dez./2022 (SINAPI) e Jul./2022 (SICRO) sem desoneração</v>
      </c>
      <c r="H347" s="1042"/>
      <c r="I347" s="1042"/>
      <c r="J347" s="1042"/>
      <c r="K347" s="1042"/>
      <c r="L347" s="1042"/>
      <c r="M347" s="516"/>
      <c r="N347" s="1043" t="s">
        <v>644</v>
      </c>
      <c r="O347" s="1043"/>
      <c r="P347" s="1043"/>
      <c r="Q347" s="1043"/>
      <c r="R347" s="1043"/>
      <c r="S347" s="1043"/>
      <c r="T347" s="1043"/>
      <c r="U347" s="1043"/>
      <c r="V347" s="517"/>
    </row>
    <row r="348" spans="2:22" ht="17.45" customHeight="1">
      <c r="B348" s="518"/>
      <c r="C348" s="1064" t="s">
        <v>321</v>
      </c>
      <c r="D348" s="1064"/>
      <c r="E348" s="1065" t="s">
        <v>461</v>
      </c>
      <c r="F348" s="1065"/>
      <c r="G348" s="1065"/>
      <c r="H348" s="1065"/>
      <c r="I348" s="1065"/>
      <c r="J348" s="1065"/>
      <c r="K348" s="1066" t="s">
        <v>322</v>
      </c>
      <c r="L348" s="1066"/>
      <c r="M348" s="211"/>
      <c r="N348" s="1067" t="s">
        <v>462</v>
      </c>
      <c r="O348" s="1067"/>
      <c r="P348" s="1067"/>
      <c r="Q348" s="541"/>
      <c r="R348" s="541"/>
      <c r="S348" s="211"/>
      <c r="T348" s="211"/>
      <c r="U348" s="211"/>
      <c r="V348" s="519"/>
    </row>
    <row r="349" spans="2:22" ht="17.45" customHeight="1">
      <c r="B349" s="520"/>
      <c r="C349" s="1064"/>
      <c r="D349" s="1064"/>
      <c r="E349" s="1065"/>
      <c r="F349" s="1065"/>
      <c r="G349" s="1065"/>
      <c r="H349" s="1065"/>
      <c r="I349" s="1065"/>
      <c r="J349" s="1065"/>
      <c r="K349" s="1068" t="s">
        <v>324</v>
      </c>
      <c r="L349" s="1068"/>
      <c r="M349" s="212"/>
      <c r="N349" s="1069">
        <v>1</v>
      </c>
      <c r="O349" s="1069"/>
      <c r="P349" s="1069"/>
      <c r="Q349" s="542"/>
      <c r="R349" s="1068" t="s">
        <v>325</v>
      </c>
      <c r="S349" s="1068"/>
      <c r="T349" s="212"/>
      <c r="U349" s="213" t="s">
        <v>326</v>
      </c>
      <c r="V349" s="521"/>
    </row>
    <row r="350" spans="2:22" ht="17.45" customHeight="1">
      <c r="B350" s="1050" t="s">
        <v>327</v>
      </c>
      <c r="C350" s="1051"/>
      <c r="D350" s="1052" t="s">
        <v>234</v>
      </c>
      <c r="E350" s="1052"/>
      <c r="F350" s="1052"/>
      <c r="G350" s="1052"/>
      <c r="H350" s="1052"/>
      <c r="I350" s="1052"/>
      <c r="J350" s="1051" t="s">
        <v>241</v>
      </c>
      <c r="K350" s="1051"/>
      <c r="L350" s="1051" t="s">
        <v>245</v>
      </c>
      <c r="M350" s="1051"/>
      <c r="N350" s="1051"/>
      <c r="O350" s="1053" t="s">
        <v>328</v>
      </c>
      <c r="P350" s="1053"/>
      <c r="Q350" s="1053"/>
      <c r="R350" s="1053"/>
      <c r="S350" s="1052" t="s">
        <v>329</v>
      </c>
      <c r="T350" s="1052"/>
      <c r="U350" s="1052"/>
      <c r="V350" s="1054"/>
    </row>
    <row r="351" spans="2:22" ht="17.45" customHeight="1">
      <c r="B351" s="522"/>
      <c r="C351" s="264">
        <v>5824</v>
      </c>
      <c r="D351" s="1055" t="s">
        <v>463</v>
      </c>
      <c r="E351" s="1055"/>
      <c r="F351" s="1055"/>
      <c r="G351" s="1055"/>
      <c r="H351" s="1055"/>
      <c r="I351" s="1055"/>
      <c r="J351" s="1060" t="s">
        <v>397</v>
      </c>
      <c r="K351" s="1060"/>
      <c r="L351" s="1056">
        <v>3.333E-3</v>
      </c>
      <c r="M351" s="1056"/>
      <c r="N351" s="1056"/>
      <c r="O351" s="1010">
        <v>202.92</v>
      </c>
      <c r="P351" s="1010"/>
      <c r="Q351" s="1010"/>
      <c r="R351" s="1010"/>
      <c r="S351" s="1061">
        <f>L351*O351</f>
        <v>0.67633235999999997</v>
      </c>
      <c r="T351" s="1061"/>
      <c r="U351" s="1061"/>
      <c r="V351" s="1062"/>
    </row>
    <row r="352" spans="2:22" ht="17.45" customHeight="1">
      <c r="B352" s="523"/>
      <c r="C352" s="263" t="s">
        <v>336</v>
      </c>
      <c r="D352" s="1037" t="s">
        <v>337</v>
      </c>
      <c r="E352" s="1037"/>
      <c r="F352" s="1037"/>
      <c r="G352" s="1037"/>
      <c r="H352" s="1037"/>
      <c r="I352" s="1037"/>
      <c r="J352" s="1038" t="s">
        <v>335</v>
      </c>
      <c r="K352" s="1038"/>
      <c r="L352" s="1039">
        <v>3.3329999999999999E-2</v>
      </c>
      <c r="M352" s="1039"/>
      <c r="N352" s="1039"/>
      <c r="O352" s="1040">
        <v>19.28</v>
      </c>
      <c r="P352" s="1040"/>
      <c r="Q352" s="1040"/>
      <c r="R352" s="1040"/>
      <c r="S352" s="1011">
        <f t="shared" ref="S352:S357" si="11">L352*O352</f>
        <v>0.64260240000000002</v>
      </c>
      <c r="T352" s="1012"/>
      <c r="U352" s="1012"/>
      <c r="V352" s="1013"/>
    </row>
    <row r="353" spans="2:22" ht="17.45" customHeight="1">
      <c r="B353" s="523"/>
      <c r="C353" s="263">
        <v>95133</v>
      </c>
      <c r="D353" s="1037" t="s">
        <v>464</v>
      </c>
      <c r="E353" s="1037"/>
      <c r="F353" s="1037"/>
      <c r="G353" s="1037"/>
      <c r="H353" s="1037"/>
      <c r="I353" s="1037"/>
      <c r="J353" s="1038" t="s">
        <v>397</v>
      </c>
      <c r="K353" s="1038"/>
      <c r="L353" s="1039">
        <v>3.333E-3</v>
      </c>
      <c r="M353" s="1039"/>
      <c r="N353" s="1039"/>
      <c r="O353" s="1040">
        <v>160.22999999999999</v>
      </c>
      <c r="P353" s="1040"/>
      <c r="Q353" s="1040"/>
      <c r="R353" s="1040"/>
      <c r="S353" s="1011">
        <f t="shared" si="11"/>
        <v>0.53404658999999999</v>
      </c>
      <c r="T353" s="1012"/>
      <c r="U353" s="1012"/>
      <c r="V353" s="1013"/>
    </row>
    <row r="354" spans="2:22" ht="17.45" customHeight="1">
      <c r="B354" s="523"/>
      <c r="C354" s="263">
        <v>44478</v>
      </c>
      <c r="D354" s="1037" t="s">
        <v>465</v>
      </c>
      <c r="E354" s="1037"/>
      <c r="F354" s="1037"/>
      <c r="G354" s="1037"/>
      <c r="H354" s="1037"/>
      <c r="I354" s="1037"/>
      <c r="J354" s="1038" t="s">
        <v>346</v>
      </c>
      <c r="K354" s="1038"/>
      <c r="L354" s="1039">
        <v>0.4</v>
      </c>
      <c r="M354" s="1039"/>
      <c r="N354" s="1039"/>
      <c r="O354" s="1040">
        <v>14.58</v>
      </c>
      <c r="P354" s="1040"/>
      <c r="Q354" s="1040"/>
      <c r="R354" s="1040"/>
      <c r="S354" s="1011">
        <f t="shared" si="11"/>
        <v>5.8320000000000007</v>
      </c>
      <c r="T354" s="1012"/>
      <c r="U354" s="1012"/>
      <c r="V354" s="1013"/>
    </row>
    <row r="355" spans="2:22" ht="17.45" customHeight="1">
      <c r="B355" s="523"/>
      <c r="C355" s="263" t="s">
        <v>466</v>
      </c>
      <c r="D355" s="1037" t="s">
        <v>467</v>
      </c>
      <c r="E355" s="1037"/>
      <c r="F355" s="1037"/>
      <c r="G355" s="1037"/>
      <c r="H355" s="1037"/>
      <c r="I355" s="1037"/>
      <c r="J355" s="1038" t="s">
        <v>468</v>
      </c>
      <c r="K355" s="1038"/>
      <c r="L355" s="1039">
        <v>0.13</v>
      </c>
      <c r="M355" s="1039"/>
      <c r="N355" s="1039"/>
      <c r="O355" s="1040">
        <v>17.98</v>
      </c>
      <c r="P355" s="1040"/>
      <c r="Q355" s="1040"/>
      <c r="R355" s="1040"/>
      <c r="S355" s="1011">
        <f t="shared" si="11"/>
        <v>2.3374000000000001</v>
      </c>
      <c r="T355" s="1012"/>
      <c r="U355" s="1012"/>
      <c r="V355" s="1013"/>
    </row>
    <row r="356" spans="2:22" ht="17.45" customHeight="1">
      <c r="B356" s="523"/>
      <c r="C356" s="263">
        <v>7343</v>
      </c>
      <c r="D356" s="1037" t="s">
        <v>469</v>
      </c>
      <c r="E356" s="1037"/>
      <c r="F356" s="1037"/>
      <c r="G356" s="1037"/>
      <c r="H356" s="1037"/>
      <c r="I356" s="1037"/>
      <c r="J356" s="1038" t="s">
        <v>468</v>
      </c>
      <c r="K356" s="1038"/>
      <c r="L356" s="1039">
        <v>0.6</v>
      </c>
      <c r="M356" s="1039"/>
      <c r="N356" s="1039"/>
      <c r="O356" s="1040">
        <v>9.9</v>
      </c>
      <c r="P356" s="1040"/>
      <c r="Q356" s="1040"/>
      <c r="R356" s="1040"/>
      <c r="S356" s="1011">
        <f t="shared" si="11"/>
        <v>5.94</v>
      </c>
      <c r="T356" s="1012"/>
      <c r="U356" s="1012"/>
      <c r="V356" s="1013"/>
    </row>
    <row r="357" spans="2:22" ht="17.45" customHeight="1">
      <c r="B357" s="524"/>
      <c r="C357" s="262">
        <v>7348</v>
      </c>
      <c r="D357" s="1019" t="s">
        <v>470</v>
      </c>
      <c r="E357" s="1019"/>
      <c r="F357" s="1019"/>
      <c r="G357" s="1019"/>
      <c r="H357" s="1019"/>
      <c r="I357" s="1019"/>
      <c r="J357" s="1020" t="s">
        <v>468</v>
      </c>
      <c r="K357" s="1020"/>
      <c r="L357" s="1021">
        <v>0.03</v>
      </c>
      <c r="M357" s="1021"/>
      <c r="N357" s="1021"/>
      <c r="O357" s="1022">
        <v>18.02</v>
      </c>
      <c r="P357" s="1022"/>
      <c r="Q357" s="1022"/>
      <c r="R357" s="1022"/>
      <c r="S357" s="1057">
        <f t="shared" si="11"/>
        <v>0.54059999999999997</v>
      </c>
      <c r="T357" s="1058"/>
      <c r="U357" s="1058"/>
      <c r="V357" s="1059"/>
    </row>
    <row r="358" spans="2:22" ht="17.45" customHeight="1">
      <c r="B358" s="1023"/>
      <c r="C358" s="1024"/>
      <c r="D358" s="1024"/>
      <c r="E358" s="1024"/>
      <c r="F358" s="1024"/>
      <c r="G358" s="1024"/>
      <c r="H358" s="1024"/>
      <c r="I358" s="1025" t="s">
        <v>347</v>
      </c>
      <c r="J358" s="1025"/>
      <c r="K358" s="1025"/>
      <c r="L358" s="1025"/>
      <c r="M358" s="1025"/>
      <c r="N358" s="1025"/>
      <c r="O358" s="1025"/>
      <c r="P358" s="1025"/>
      <c r="Q358" s="1025"/>
      <c r="R358" s="1025"/>
      <c r="S358" s="1026">
        <f>SUM(S351:V357)</f>
        <v>16.502981350000002</v>
      </c>
      <c r="T358" s="1026"/>
      <c r="U358" s="1026"/>
      <c r="V358" s="1027"/>
    </row>
    <row r="359" spans="2:22" ht="17.45" customHeight="1">
      <c r="B359" s="1028"/>
      <c r="C359" s="1029"/>
      <c r="D359" s="1029"/>
      <c r="E359" s="1029"/>
      <c r="F359" s="1029"/>
      <c r="G359" s="1029"/>
      <c r="H359" s="1029"/>
      <c r="I359" s="1029"/>
      <c r="J359" s="1029"/>
      <c r="K359" s="1029"/>
      <c r="L359" s="1029"/>
      <c r="M359" s="1029"/>
      <c r="N359" s="1029"/>
      <c r="O359" s="1029"/>
      <c r="P359" s="1029"/>
      <c r="Q359" s="1029"/>
      <c r="R359" s="1029"/>
      <c r="S359" s="1029"/>
      <c r="T359" s="1029"/>
      <c r="U359" s="1029"/>
      <c r="V359" s="1030"/>
    </row>
    <row r="360" spans="2:22" ht="17.45" customHeight="1">
      <c r="B360" s="1031"/>
      <c r="C360" s="1032"/>
      <c r="D360" s="1032"/>
      <c r="E360" s="1032"/>
      <c r="F360" s="1032"/>
      <c r="G360" s="1032"/>
      <c r="H360" s="1032"/>
      <c r="I360" s="1033" t="s">
        <v>348</v>
      </c>
      <c r="J360" s="1033"/>
      <c r="K360" s="1033"/>
      <c r="L360" s="1033"/>
      <c r="M360" s="1033"/>
      <c r="N360" s="1033"/>
      <c r="O360" s="1033"/>
      <c r="P360" s="1033"/>
      <c r="Q360" s="1033"/>
      <c r="R360" s="1033"/>
      <c r="S360" s="1012">
        <f>S358</f>
        <v>16.502981350000002</v>
      </c>
      <c r="T360" s="1012"/>
      <c r="U360" s="1012"/>
      <c r="V360" s="1013"/>
    </row>
    <row r="361" spans="2:22" ht="17.45" customHeight="1">
      <c r="B361" s="1031"/>
      <c r="C361" s="1032"/>
      <c r="D361" s="1032"/>
      <c r="E361" s="1032"/>
      <c r="F361" s="1032"/>
      <c r="G361" s="1032"/>
      <c r="H361" s="1033" t="s">
        <v>349</v>
      </c>
      <c r="I361" s="1033"/>
      <c r="J361" s="1033"/>
      <c r="K361" s="1033"/>
      <c r="L361" s="1033"/>
      <c r="M361" s="1035">
        <v>20.7</v>
      </c>
      <c r="N361" s="1035"/>
      <c r="O361" s="1035"/>
      <c r="P361" s="1036" t="s">
        <v>350</v>
      </c>
      <c r="Q361" s="1036"/>
      <c r="R361" s="1036"/>
      <c r="S361" s="1012">
        <f>TRUNC(S360*M361%,2)</f>
        <v>3.41</v>
      </c>
      <c r="T361" s="1012"/>
      <c r="U361" s="1012"/>
      <c r="V361" s="1013"/>
    </row>
    <row r="362" spans="2:22" ht="17.45" customHeight="1">
      <c r="B362" s="1014"/>
      <c r="C362" s="1015"/>
      <c r="D362" s="1015"/>
      <c r="E362" s="1015"/>
      <c r="F362" s="1015"/>
      <c r="G362" s="1015"/>
      <c r="H362" s="1015"/>
      <c r="I362" s="1016" t="s">
        <v>351</v>
      </c>
      <c r="J362" s="1016"/>
      <c r="K362" s="1016"/>
      <c r="L362" s="1016"/>
      <c r="M362" s="1016"/>
      <c r="N362" s="1016"/>
      <c r="O362" s="1016"/>
      <c r="P362" s="1016"/>
      <c r="Q362" s="1016"/>
      <c r="R362" s="1016"/>
      <c r="S362" s="1017">
        <f>S360+S361</f>
        <v>19.912981350000003</v>
      </c>
      <c r="T362" s="1017"/>
      <c r="U362" s="1017"/>
      <c r="V362" s="1018"/>
    </row>
    <row r="363" spans="2:22" ht="144.94999999999999" customHeight="1">
      <c r="B363" s="214"/>
      <c r="V363" s="217"/>
    </row>
    <row r="364" spans="2:22" ht="144.94999999999999" customHeight="1">
      <c r="B364" s="214"/>
      <c r="V364" s="217"/>
    </row>
    <row r="365" spans="2:22" ht="144.94999999999999" customHeight="1">
      <c r="B365" s="214"/>
      <c r="V365" s="217"/>
    </row>
    <row r="366" spans="2:22" ht="17.45" customHeight="1">
      <c r="B366" s="214"/>
      <c r="C366" s="525"/>
      <c r="D366" s="526"/>
      <c r="E366" s="526"/>
      <c r="F366" s="526"/>
      <c r="G366" s="526"/>
      <c r="H366" s="526"/>
      <c r="I366" s="526"/>
      <c r="J366" s="526"/>
      <c r="K366" s="525"/>
      <c r="L366" s="525"/>
      <c r="M366" s="525"/>
      <c r="N366" s="525"/>
      <c r="O366" s="543"/>
      <c r="P366" s="543"/>
      <c r="Q366" s="543"/>
      <c r="R366" s="543"/>
      <c r="S366" s="525"/>
      <c r="T366" s="525"/>
      <c r="U366" s="525"/>
      <c r="V366" s="217"/>
    </row>
    <row r="367" spans="2:22" ht="17.45" customHeight="1">
      <c r="B367" s="514"/>
      <c r="C367" s="1063" t="s">
        <v>320</v>
      </c>
      <c r="D367" s="1063"/>
      <c r="E367" s="1063"/>
      <c r="F367" s="515"/>
      <c r="G367" s="1042" t="str">
        <f>G347</f>
        <v>Data Base: Dez./2022 (SINAPI) e Jul./2022 (SICRO) sem desoneração</v>
      </c>
      <c r="H367" s="1042"/>
      <c r="I367" s="1042"/>
      <c r="J367" s="1042"/>
      <c r="K367" s="1042"/>
      <c r="L367" s="1042"/>
      <c r="M367" s="516"/>
      <c r="N367" s="1043" t="s">
        <v>644</v>
      </c>
      <c r="O367" s="1043"/>
      <c r="P367" s="1043"/>
      <c r="Q367" s="1043"/>
      <c r="R367" s="1043"/>
      <c r="S367" s="1043"/>
      <c r="T367" s="1043"/>
      <c r="U367" s="1043"/>
      <c r="V367" s="517"/>
    </row>
    <row r="368" spans="2:22" ht="17.45" customHeight="1">
      <c r="B368" s="518"/>
      <c r="C368" s="1064" t="s">
        <v>321</v>
      </c>
      <c r="D368" s="1064"/>
      <c r="E368" s="1065" t="s">
        <v>473</v>
      </c>
      <c r="F368" s="1065"/>
      <c r="G368" s="1065"/>
      <c r="H368" s="1065"/>
      <c r="I368" s="1065"/>
      <c r="J368" s="1065"/>
      <c r="K368" s="1066" t="s">
        <v>322</v>
      </c>
      <c r="L368" s="1066"/>
      <c r="M368" s="211"/>
      <c r="N368" s="1067" t="s">
        <v>474</v>
      </c>
      <c r="O368" s="1067"/>
      <c r="P368" s="1067"/>
      <c r="Q368" s="541"/>
      <c r="R368" s="541"/>
      <c r="S368" s="211"/>
      <c r="T368" s="211"/>
      <c r="U368" s="211"/>
      <c r="V368" s="519"/>
    </row>
    <row r="369" spans="2:22" ht="17.45" customHeight="1">
      <c r="B369" s="520"/>
      <c r="C369" s="1064"/>
      <c r="D369" s="1064"/>
      <c r="E369" s="1065"/>
      <c r="F369" s="1065"/>
      <c r="G369" s="1065"/>
      <c r="H369" s="1065"/>
      <c r="I369" s="1065"/>
      <c r="J369" s="1065"/>
      <c r="K369" s="1068" t="s">
        <v>324</v>
      </c>
      <c r="L369" s="1068"/>
      <c r="M369" s="212"/>
      <c r="N369" s="1069">
        <v>1</v>
      </c>
      <c r="O369" s="1069"/>
      <c r="P369" s="1069"/>
      <c r="Q369" s="542"/>
      <c r="R369" s="1068" t="s">
        <v>325</v>
      </c>
      <c r="S369" s="1068"/>
      <c r="T369" s="212"/>
      <c r="U369" s="213" t="s">
        <v>356</v>
      </c>
      <c r="V369" s="521"/>
    </row>
    <row r="370" spans="2:22" ht="17.45" customHeight="1">
      <c r="B370" s="1050" t="s">
        <v>327</v>
      </c>
      <c r="C370" s="1051"/>
      <c r="D370" s="1052" t="s">
        <v>234</v>
      </c>
      <c r="E370" s="1052"/>
      <c r="F370" s="1052"/>
      <c r="G370" s="1052"/>
      <c r="H370" s="1052"/>
      <c r="I370" s="1052"/>
      <c r="J370" s="1051" t="s">
        <v>241</v>
      </c>
      <c r="K370" s="1051"/>
      <c r="L370" s="1051" t="s">
        <v>245</v>
      </c>
      <c r="M370" s="1051"/>
      <c r="N370" s="1051"/>
      <c r="O370" s="1053" t="s">
        <v>328</v>
      </c>
      <c r="P370" s="1053"/>
      <c r="Q370" s="1053"/>
      <c r="R370" s="1053"/>
      <c r="S370" s="1052" t="s">
        <v>329</v>
      </c>
      <c r="T370" s="1052"/>
      <c r="U370" s="1052"/>
      <c r="V370" s="1054"/>
    </row>
    <row r="371" spans="2:22" ht="17.45" customHeight="1">
      <c r="B371" s="522"/>
      <c r="C371" s="264" t="s">
        <v>336</v>
      </c>
      <c r="D371" s="1055" t="s">
        <v>337</v>
      </c>
      <c r="E371" s="1055"/>
      <c r="F371" s="1055"/>
      <c r="G371" s="1055"/>
      <c r="H371" s="1055"/>
      <c r="I371" s="1055"/>
      <c r="J371" s="1060" t="s">
        <v>335</v>
      </c>
      <c r="K371" s="1060"/>
      <c r="L371" s="1056">
        <v>0.4</v>
      </c>
      <c r="M371" s="1056"/>
      <c r="N371" s="1056"/>
      <c r="O371" s="1010">
        <v>19.28</v>
      </c>
      <c r="P371" s="1010"/>
      <c r="Q371" s="1010"/>
      <c r="R371" s="1010"/>
      <c r="S371" s="1061">
        <f>L371*O371</f>
        <v>7.7120000000000006</v>
      </c>
      <c r="T371" s="1061"/>
      <c r="U371" s="1061"/>
      <c r="V371" s="1062"/>
    </row>
    <row r="372" spans="2:22" ht="17.45" customHeight="1">
      <c r="B372" s="523"/>
      <c r="C372" s="263" t="s">
        <v>475</v>
      </c>
      <c r="D372" s="1037" t="s">
        <v>476</v>
      </c>
      <c r="E372" s="1037"/>
      <c r="F372" s="1037"/>
      <c r="G372" s="1037"/>
      <c r="H372" s="1037"/>
      <c r="I372" s="1037"/>
      <c r="J372" s="1038" t="s">
        <v>352</v>
      </c>
      <c r="K372" s="1038"/>
      <c r="L372" s="1039">
        <v>4</v>
      </c>
      <c r="M372" s="1039"/>
      <c r="N372" s="1039"/>
      <c r="O372" s="1040">
        <v>0.22</v>
      </c>
      <c r="P372" s="1040"/>
      <c r="Q372" s="1040"/>
      <c r="R372" s="1040"/>
      <c r="S372" s="1011">
        <f t="shared" ref="S372:S373" si="12">L372*O372</f>
        <v>0.88</v>
      </c>
      <c r="T372" s="1012"/>
      <c r="U372" s="1012"/>
      <c r="V372" s="1013"/>
    </row>
    <row r="373" spans="2:22" ht="17.45" customHeight="1">
      <c r="B373" s="524"/>
      <c r="C373" s="262" t="s">
        <v>477</v>
      </c>
      <c r="D373" s="1019" t="s">
        <v>478</v>
      </c>
      <c r="E373" s="1019"/>
      <c r="F373" s="1019"/>
      <c r="G373" s="1019"/>
      <c r="H373" s="1019"/>
      <c r="I373" s="1019"/>
      <c r="J373" s="1020" t="s">
        <v>352</v>
      </c>
      <c r="K373" s="1020"/>
      <c r="L373" s="1021">
        <v>1</v>
      </c>
      <c r="M373" s="1021"/>
      <c r="N373" s="1021"/>
      <c r="O373" s="1022">
        <v>99</v>
      </c>
      <c r="P373" s="1022"/>
      <c r="Q373" s="1022"/>
      <c r="R373" s="1022"/>
      <c r="S373" s="1057">
        <f t="shared" si="12"/>
        <v>99</v>
      </c>
      <c r="T373" s="1058"/>
      <c r="U373" s="1058"/>
      <c r="V373" s="1059"/>
    </row>
    <row r="374" spans="2:22" ht="17.45" customHeight="1">
      <c r="B374" s="1023"/>
      <c r="C374" s="1024"/>
      <c r="D374" s="1024"/>
      <c r="E374" s="1024"/>
      <c r="F374" s="1024"/>
      <c r="G374" s="1024"/>
      <c r="H374" s="1024"/>
      <c r="I374" s="1025" t="s">
        <v>347</v>
      </c>
      <c r="J374" s="1025"/>
      <c r="K374" s="1025"/>
      <c r="L374" s="1025"/>
      <c r="M374" s="1025"/>
      <c r="N374" s="1025"/>
      <c r="O374" s="1025"/>
      <c r="P374" s="1025"/>
      <c r="Q374" s="1025"/>
      <c r="R374" s="1025"/>
      <c r="S374" s="1026">
        <f>SUM(S371:V373)</f>
        <v>107.592</v>
      </c>
      <c r="T374" s="1026"/>
      <c r="U374" s="1026"/>
      <c r="V374" s="1027"/>
    </row>
    <row r="375" spans="2:22" ht="17.45" customHeight="1">
      <c r="B375" s="1028"/>
      <c r="C375" s="1029"/>
      <c r="D375" s="1029"/>
      <c r="E375" s="1029"/>
      <c r="F375" s="1029"/>
      <c r="G375" s="1029"/>
      <c r="H375" s="1029"/>
      <c r="I375" s="1029"/>
      <c r="J375" s="1029"/>
      <c r="K375" s="1029"/>
      <c r="L375" s="1029"/>
      <c r="M375" s="1029"/>
      <c r="N375" s="1029"/>
      <c r="O375" s="1029"/>
      <c r="P375" s="1029"/>
      <c r="Q375" s="1029"/>
      <c r="R375" s="1029"/>
      <c r="S375" s="1029"/>
      <c r="T375" s="1029"/>
      <c r="U375" s="1029"/>
      <c r="V375" s="1030"/>
    </row>
    <row r="376" spans="2:22" ht="17.45" customHeight="1">
      <c r="B376" s="1031"/>
      <c r="C376" s="1032"/>
      <c r="D376" s="1032"/>
      <c r="E376" s="1032"/>
      <c r="F376" s="1032"/>
      <c r="G376" s="1032"/>
      <c r="H376" s="1032"/>
      <c r="I376" s="1033" t="s">
        <v>348</v>
      </c>
      <c r="J376" s="1033"/>
      <c r="K376" s="1033"/>
      <c r="L376" s="1033"/>
      <c r="M376" s="1033"/>
      <c r="N376" s="1033"/>
      <c r="O376" s="1033"/>
      <c r="P376" s="1033"/>
      <c r="Q376" s="1033"/>
      <c r="R376" s="1033"/>
      <c r="S376" s="1012">
        <f>S374</f>
        <v>107.592</v>
      </c>
      <c r="T376" s="1012"/>
      <c r="U376" s="1012"/>
      <c r="V376" s="1013"/>
    </row>
    <row r="377" spans="2:22" ht="17.45" customHeight="1">
      <c r="B377" s="1031"/>
      <c r="C377" s="1032"/>
      <c r="D377" s="1032"/>
      <c r="E377" s="1032"/>
      <c r="F377" s="1032"/>
      <c r="G377" s="1032"/>
      <c r="H377" s="1033" t="s">
        <v>349</v>
      </c>
      <c r="I377" s="1033"/>
      <c r="J377" s="1033"/>
      <c r="K377" s="1033"/>
      <c r="L377" s="1033"/>
      <c r="M377" s="1035">
        <v>20.7</v>
      </c>
      <c r="N377" s="1035"/>
      <c r="O377" s="1035"/>
      <c r="P377" s="1036" t="s">
        <v>350</v>
      </c>
      <c r="Q377" s="1036"/>
      <c r="R377" s="1036"/>
      <c r="S377" s="1012">
        <f>TRUNC(S376*M377%,2)</f>
        <v>22.27</v>
      </c>
      <c r="T377" s="1012"/>
      <c r="U377" s="1012"/>
      <c r="V377" s="1013"/>
    </row>
    <row r="378" spans="2:22" ht="17.45" customHeight="1">
      <c r="B378" s="1014"/>
      <c r="C378" s="1015"/>
      <c r="D378" s="1015"/>
      <c r="E378" s="1015"/>
      <c r="F378" s="1015"/>
      <c r="G378" s="1015"/>
      <c r="H378" s="1015"/>
      <c r="I378" s="1016" t="s">
        <v>351</v>
      </c>
      <c r="J378" s="1016"/>
      <c r="K378" s="1016"/>
      <c r="L378" s="1016"/>
      <c r="M378" s="1016"/>
      <c r="N378" s="1016"/>
      <c r="O378" s="1016"/>
      <c r="P378" s="1016"/>
      <c r="Q378" s="1016"/>
      <c r="R378" s="1016"/>
      <c r="S378" s="1017">
        <f>S376+S377</f>
        <v>129.86199999999999</v>
      </c>
      <c r="T378" s="1017"/>
      <c r="U378" s="1017"/>
      <c r="V378" s="1018"/>
    </row>
    <row r="379" spans="2:22" ht="144.94999999999999" customHeight="1">
      <c r="B379" s="214"/>
      <c r="V379" s="217"/>
    </row>
    <row r="380" spans="2:22" ht="144.94999999999999" customHeight="1">
      <c r="B380" s="214"/>
      <c r="V380" s="217"/>
    </row>
    <row r="381" spans="2:22" ht="212.25" customHeight="1">
      <c r="B381" s="214"/>
      <c r="V381" s="217"/>
    </row>
    <row r="382" spans="2:22" ht="17.45" customHeight="1">
      <c r="B382" s="214"/>
      <c r="C382" s="525"/>
      <c r="D382" s="526"/>
      <c r="E382" s="526"/>
      <c r="F382" s="526"/>
      <c r="G382" s="526"/>
      <c r="H382" s="526"/>
      <c r="I382" s="526"/>
      <c r="J382" s="526"/>
      <c r="K382" s="525"/>
      <c r="L382" s="525"/>
      <c r="M382" s="525"/>
      <c r="N382" s="525"/>
      <c r="O382" s="543"/>
      <c r="P382" s="543"/>
      <c r="Q382" s="543"/>
      <c r="R382" s="543"/>
      <c r="S382" s="525"/>
      <c r="T382" s="525"/>
      <c r="U382" s="525"/>
      <c r="V382" s="217"/>
    </row>
    <row r="383" spans="2:22" ht="17.45" customHeight="1">
      <c r="B383" s="514"/>
      <c r="C383" s="1063" t="s">
        <v>320</v>
      </c>
      <c r="D383" s="1063"/>
      <c r="E383" s="1063"/>
      <c r="F383" s="515"/>
      <c r="G383" s="1042" t="str">
        <f>G367</f>
        <v>Data Base: Dez./2022 (SINAPI) e Jul./2022 (SICRO) sem desoneração</v>
      </c>
      <c r="H383" s="1042"/>
      <c r="I383" s="1042"/>
      <c r="J383" s="1042"/>
      <c r="K383" s="1042"/>
      <c r="L383" s="1042"/>
      <c r="M383" s="516"/>
      <c r="N383" s="1043" t="s">
        <v>644</v>
      </c>
      <c r="O383" s="1043"/>
      <c r="P383" s="1043"/>
      <c r="Q383" s="1043"/>
      <c r="R383" s="1043"/>
      <c r="S383" s="1043"/>
      <c r="T383" s="1043"/>
      <c r="U383" s="1043"/>
      <c r="V383" s="517"/>
    </row>
    <row r="384" spans="2:22" ht="17.45" customHeight="1">
      <c r="B384" s="518"/>
      <c r="C384" s="1064" t="s">
        <v>321</v>
      </c>
      <c r="D384" s="1064"/>
      <c r="E384" s="1065" t="s">
        <v>479</v>
      </c>
      <c r="F384" s="1065"/>
      <c r="G384" s="1065"/>
      <c r="H384" s="1065"/>
      <c r="I384" s="1065"/>
      <c r="J384" s="1065"/>
      <c r="K384" s="1066" t="s">
        <v>322</v>
      </c>
      <c r="L384" s="1066"/>
      <c r="M384" s="211"/>
      <c r="N384" s="1067" t="s">
        <v>480</v>
      </c>
      <c r="O384" s="1067"/>
      <c r="P384" s="1067"/>
      <c r="Q384" s="541"/>
      <c r="R384" s="541"/>
      <c r="S384" s="211"/>
      <c r="T384" s="211"/>
      <c r="U384" s="211"/>
      <c r="V384" s="519"/>
    </row>
    <row r="385" spans="2:22" ht="17.45" customHeight="1">
      <c r="B385" s="520"/>
      <c r="C385" s="1064"/>
      <c r="D385" s="1064"/>
      <c r="E385" s="1065"/>
      <c r="F385" s="1065"/>
      <c r="G385" s="1065"/>
      <c r="H385" s="1065"/>
      <c r="I385" s="1065"/>
      <c r="J385" s="1065"/>
      <c r="K385" s="1068" t="s">
        <v>324</v>
      </c>
      <c r="L385" s="1068"/>
      <c r="M385" s="212"/>
      <c r="N385" s="1069">
        <v>1</v>
      </c>
      <c r="O385" s="1069"/>
      <c r="P385" s="1069"/>
      <c r="Q385" s="542"/>
      <c r="R385" s="1068" t="s">
        <v>325</v>
      </c>
      <c r="S385" s="1068"/>
      <c r="T385" s="212"/>
      <c r="U385" s="213" t="s">
        <v>326</v>
      </c>
      <c r="V385" s="521"/>
    </row>
    <row r="386" spans="2:22" ht="17.45" customHeight="1">
      <c r="B386" s="1050" t="s">
        <v>327</v>
      </c>
      <c r="C386" s="1051"/>
      <c r="D386" s="1052" t="s">
        <v>234</v>
      </c>
      <c r="E386" s="1052"/>
      <c r="F386" s="1052"/>
      <c r="G386" s="1052"/>
      <c r="H386" s="1052"/>
      <c r="I386" s="1052"/>
      <c r="J386" s="1051" t="s">
        <v>241</v>
      </c>
      <c r="K386" s="1051"/>
      <c r="L386" s="1051" t="s">
        <v>245</v>
      </c>
      <c r="M386" s="1051"/>
      <c r="N386" s="1051"/>
      <c r="O386" s="1053" t="s">
        <v>328</v>
      </c>
      <c r="P386" s="1053"/>
      <c r="Q386" s="1053"/>
      <c r="R386" s="1053"/>
      <c r="S386" s="1052" t="s">
        <v>329</v>
      </c>
      <c r="T386" s="1052"/>
      <c r="U386" s="1052"/>
      <c r="V386" s="1054"/>
    </row>
    <row r="387" spans="2:22" ht="17.45" customHeight="1">
      <c r="B387" s="522"/>
      <c r="C387" s="264">
        <v>88239</v>
      </c>
      <c r="D387" s="1055" t="s">
        <v>481</v>
      </c>
      <c r="E387" s="1055"/>
      <c r="F387" s="1055"/>
      <c r="G387" s="1055"/>
      <c r="H387" s="1055"/>
      <c r="I387" s="1055"/>
      <c r="J387" s="1060" t="s">
        <v>335</v>
      </c>
      <c r="K387" s="1060"/>
      <c r="L387" s="1056">
        <v>0.53</v>
      </c>
      <c r="M387" s="1056"/>
      <c r="N387" s="1056"/>
      <c r="O387" s="1010">
        <v>20.309999999999999</v>
      </c>
      <c r="P387" s="1010"/>
      <c r="Q387" s="1010"/>
      <c r="R387" s="1010"/>
      <c r="S387" s="1061">
        <f>L387*O387</f>
        <v>10.7643</v>
      </c>
      <c r="T387" s="1061"/>
      <c r="U387" s="1061"/>
      <c r="V387" s="1062"/>
    </row>
    <row r="388" spans="2:22" ht="17.45" customHeight="1">
      <c r="B388" s="523"/>
      <c r="C388" s="263" t="s">
        <v>333</v>
      </c>
      <c r="D388" s="1037" t="s">
        <v>334</v>
      </c>
      <c r="E388" s="1037"/>
      <c r="F388" s="1037"/>
      <c r="G388" s="1037"/>
      <c r="H388" s="1037"/>
      <c r="I388" s="1037"/>
      <c r="J388" s="1038" t="s">
        <v>335</v>
      </c>
      <c r="K388" s="1038"/>
      <c r="L388" s="1039">
        <v>0.44</v>
      </c>
      <c r="M388" s="1039"/>
      <c r="N388" s="1039"/>
      <c r="O388" s="1040">
        <v>23.95</v>
      </c>
      <c r="P388" s="1040"/>
      <c r="Q388" s="1040"/>
      <c r="R388" s="1040"/>
      <c r="S388" s="1011">
        <f t="shared" ref="S388:S392" si="13">L388*O388</f>
        <v>10.538</v>
      </c>
      <c r="T388" s="1012"/>
      <c r="U388" s="1012"/>
      <c r="V388" s="1013"/>
    </row>
    <row r="389" spans="2:22" ht="17.45" customHeight="1">
      <c r="B389" s="523"/>
      <c r="C389" s="263" t="s">
        <v>482</v>
      </c>
      <c r="D389" s="1037" t="s">
        <v>483</v>
      </c>
      <c r="E389" s="1037"/>
      <c r="F389" s="1037"/>
      <c r="G389" s="1037"/>
      <c r="H389" s="1037"/>
      <c r="I389" s="1037"/>
      <c r="J389" s="1038" t="s">
        <v>340</v>
      </c>
      <c r="K389" s="1038"/>
      <c r="L389" s="1039">
        <v>0.2</v>
      </c>
      <c r="M389" s="1039"/>
      <c r="N389" s="1039"/>
      <c r="O389" s="1040">
        <v>5.92</v>
      </c>
      <c r="P389" s="1040"/>
      <c r="Q389" s="1040"/>
      <c r="R389" s="1040"/>
      <c r="S389" s="1011">
        <f t="shared" si="13"/>
        <v>1.1839999999999999</v>
      </c>
      <c r="T389" s="1012"/>
      <c r="U389" s="1012"/>
      <c r="V389" s="1013"/>
    </row>
    <row r="390" spans="2:22" ht="17.45" customHeight="1">
      <c r="B390" s="523"/>
      <c r="C390" s="263" t="s">
        <v>341</v>
      </c>
      <c r="D390" s="1037" t="s">
        <v>342</v>
      </c>
      <c r="E390" s="1037"/>
      <c r="F390" s="1037"/>
      <c r="G390" s="1037"/>
      <c r="H390" s="1037"/>
      <c r="I390" s="1037"/>
      <c r="J390" s="1038" t="s">
        <v>340</v>
      </c>
      <c r="K390" s="1038"/>
      <c r="L390" s="1039">
        <v>0.06</v>
      </c>
      <c r="M390" s="1039"/>
      <c r="N390" s="1039"/>
      <c r="O390" s="1040">
        <v>11.67</v>
      </c>
      <c r="P390" s="1040"/>
      <c r="Q390" s="1040"/>
      <c r="R390" s="1040"/>
      <c r="S390" s="1011">
        <f t="shared" si="13"/>
        <v>0.70019999999999993</v>
      </c>
      <c r="T390" s="1012"/>
      <c r="U390" s="1012"/>
      <c r="V390" s="1013"/>
    </row>
    <row r="391" spans="2:22" ht="17.45" customHeight="1">
      <c r="B391" s="523"/>
      <c r="C391" s="263" t="s">
        <v>484</v>
      </c>
      <c r="D391" s="1037" t="s">
        <v>485</v>
      </c>
      <c r="E391" s="1037"/>
      <c r="F391" s="1037"/>
      <c r="G391" s="1037"/>
      <c r="H391" s="1037"/>
      <c r="I391" s="1037"/>
      <c r="J391" s="1038" t="s">
        <v>346</v>
      </c>
      <c r="K391" s="1038"/>
      <c r="L391" s="1039">
        <v>0.01</v>
      </c>
      <c r="M391" s="1039"/>
      <c r="N391" s="1039"/>
      <c r="O391" s="1040">
        <v>25.9</v>
      </c>
      <c r="P391" s="1040"/>
      <c r="Q391" s="1040"/>
      <c r="R391" s="1040"/>
      <c r="S391" s="1011">
        <f t="shared" si="13"/>
        <v>0.25900000000000001</v>
      </c>
      <c r="T391" s="1012"/>
      <c r="U391" s="1012"/>
      <c r="V391" s="1013"/>
    </row>
    <row r="392" spans="2:22" ht="17.45" customHeight="1">
      <c r="B392" s="524"/>
      <c r="C392" s="262" t="s">
        <v>486</v>
      </c>
      <c r="D392" s="1019" t="s">
        <v>487</v>
      </c>
      <c r="E392" s="1019"/>
      <c r="F392" s="1019"/>
      <c r="G392" s="1019"/>
      <c r="H392" s="1019"/>
      <c r="I392" s="1019"/>
      <c r="J392" s="1020" t="s">
        <v>326</v>
      </c>
      <c r="K392" s="1020"/>
      <c r="L392" s="1021">
        <v>1.1000000000000001</v>
      </c>
      <c r="M392" s="1021"/>
      <c r="N392" s="1021"/>
      <c r="O392" s="1022">
        <v>3.16</v>
      </c>
      <c r="P392" s="1022"/>
      <c r="Q392" s="1022"/>
      <c r="R392" s="1022"/>
      <c r="S392" s="1057">
        <f t="shared" si="13"/>
        <v>3.4760000000000004</v>
      </c>
      <c r="T392" s="1058"/>
      <c r="U392" s="1058"/>
      <c r="V392" s="1059"/>
    </row>
    <row r="393" spans="2:22" ht="17.45" customHeight="1">
      <c r="B393" s="1023"/>
      <c r="C393" s="1024"/>
      <c r="D393" s="1024"/>
      <c r="E393" s="1024"/>
      <c r="F393" s="1024"/>
      <c r="G393" s="1024"/>
      <c r="H393" s="1024"/>
      <c r="I393" s="1025" t="s">
        <v>347</v>
      </c>
      <c r="J393" s="1025"/>
      <c r="K393" s="1025"/>
      <c r="L393" s="1025"/>
      <c r="M393" s="1025"/>
      <c r="N393" s="1025"/>
      <c r="O393" s="1025"/>
      <c r="P393" s="1025"/>
      <c r="Q393" s="1025"/>
      <c r="R393" s="1025"/>
      <c r="S393" s="1026">
        <f>SUM(S387:V392)</f>
        <v>26.921500000000002</v>
      </c>
      <c r="T393" s="1026"/>
      <c r="U393" s="1026"/>
      <c r="V393" s="1027"/>
    </row>
    <row r="394" spans="2:22" ht="17.45" customHeight="1">
      <c r="B394" s="1028"/>
      <c r="C394" s="1029"/>
      <c r="D394" s="1029"/>
      <c r="E394" s="1029"/>
      <c r="F394" s="1029"/>
      <c r="G394" s="1029"/>
      <c r="H394" s="1029"/>
      <c r="I394" s="1029"/>
      <c r="J394" s="1029"/>
      <c r="K394" s="1029"/>
      <c r="L394" s="1029"/>
      <c r="M394" s="1029"/>
      <c r="N394" s="1029"/>
      <c r="O394" s="1029"/>
      <c r="P394" s="1029"/>
      <c r="Q394" s="1029"/>
      <c r="R394" s="1029"/>
      <c r="S394" s="1029"/>
      <c r="T394" s="1029"/>
      <c r="U394" s="1029"/>
      <c r="V394" s="1030"/>
    </row>
    <row r="395" spans="2:22" ht="17.45" customHeight="1">
      <c r="B395" s="1031"/>
      <c r="C395" s="1032"/>
      <c r="D395" s="1032"/>
      <c r="E395" s="1032"/>
      <c r="F395" s="1032"/>
      <c r="G395" s="1032"/>
      <c r="H395" s="1032"/>
      <c r="I395" s="1033" t="s">
        <v>348</v>
      </c>
      <c r="J395" s="1033"/>
      <c r="K395" s="1033"/>
      <c r="L395" s="1033"/>
      <c r="M395" s="1033"/>
      <c r="N395" s="1033"/>
      <c r="O395" s="1033"/>
      <c r="P395" s="1033"/>
      <c r="Q395" s="1033"/>
      <c r="R395" s="1033"/>
      <c r="S395" s="1012">
        <f>S393</f>
        <v>26.921500000000002</v>
      </c>
      <c r="T395" s="1012"/>
      <c r="U395" s="1012"/>
      <c r="V395" s="1013"/>
    </row>
    <row r="396" spans="2:22" ht="17.45" customHeight="1">
      <c r="B396" s="1031"/>
      <c r="C396" s="1032"/>
      <c r="D396" s="1032"/>
      <c r="E396" s="1032"/>
      <c r="F396" s="1032"/>
      <c r="G396" s="1032"/>
      <c r="H396" s="1033" t="s">
        <v>349</v>
      </c>
      <c r="I396" s="1033"/>
      <c r="J396" s="1033"/>
      <c r="K396" s="1033"/>
      <c r="L396" s="1033"/>
      <c r="M396" s="1035">
        <v>20.7</v>
      </c>
      <c r="N396" s="1035"/>
      <c r="O396" s="1035"/>
      <c r="P396" s="1036" t="s">
        <v>350</v>
      </c>
      <c r="Q396" s="1036"/>
      <c r="R396" s="1036"/>
      <c r="S396" s="1012">
        <f>TRUNC(S395*M396%,2)</f>
        <v>5.57</v>
      </c>
      <c r="T396" s="1012"/>
      <c r="U396" s="1012"/>
      <c r="V396" s="1013"/>
    </row>
    <row r="397" spans="2:22" ht="17.45" customHeight="1">
      <c r="B397" s="1014"/>
      <c r="C397" s="1015"/>
      <c r="D397" s="1015"/>
      <c r="E397" s="1015"/>
      <c r="F397" s="1015"/>
      <c r="G397" s="1015"/>
      <c r="H397" s="1015"/>
      <c r="I397" s="1016" t="s">
        <v>351</v>
      </c>
      <c r="J397" s="1016"/>
      <c r="K397" s="1016"/>
      <c r="L397" s="1016"/>
      <c r="M397" s="1016"/>
      <c r="N397" s="1016"/>
      <c r="O397" s="1016"/>
      <c r="P397" s="1016"/>
      <c r="Q397" s="1016"/>
      <c r="R397" s="1016"/>
      <c r="S397" s="1017">
        <f>S395+S396</f>
        <v>32.491500000000002</v>
      </c>
      <c r="T397" s="1017"/>
      <c r="U397" s="1017"/>
      <c r="V397" s="1018"/>
    </row>
    <row r="398" spans="2:22" ht="144.94999999999999" customHeight="1">
      <c r="B398" s="214"/>
      <c r="V398" s="217"/>
    </row>
    <row r="399" spans="2:22" ht="144.94999999999999" customHeight="1">
      <c r="B399" s="214"/>
      <c r="V399" s="217"/>
    </row>
    <row r="400" spans="2:22" ht="165.75" customHeight="1">
      <c r="B400" s="214"/>
      <c r="V400" s="217"/>
    </row>
    <row r="401" spans="2:22" ht="17.45" customHeight="1">
      <c r="B401" s="214"/>
      <c r="C401" s="525"/>
      <c r="D401" s="526"/>
      <c r="E401" s="526"/>
      <c r="F401" s="526"/>
      <c r="G401" s="526"/>
      <c r="H401" s="526"/>
      <c r="I401" s="526"/>
      <c r="J401" s="526"/>
      <c r="K401" s="525"/>
      <c r="L401" s="525"/>
      <c r="M401" s="525"/>
      <c r="N401" s="525"/>
      <c r="O401" s="543"/>
      <c r="P401" s="543"/>
      <c r="Q401" s="543"/>
      <c r="R401" s="543"/>
      <c r="S401" s="525"/>
      <c r="T401" s="525"/>
      <c r="U401" s="525"/>
      <c r="V401" s="217"/>
    </row>
    <row r="402" spans="2:22" ht="17.45" customHeight="1">
      <c r="B402" s="514"/>
      <c r="C402" s="1063" t="s">
        <v>320</v>
      </c>
      <c r="D402" s="1063"/>
      <c r="E402" s="1063"/>
      <c r="F402" s="515"/>
      <c r="G402" s="1042" t="s">
        <v>540</v>
      </c>
      <c r="H402" s="1042"/>
      <c r="I402" s="1042"/>
      <c r="J402" s="1042"/>
      <c r="K402" s="1042"/>
      <c r="L402" s="1042"/>
      <c r="M402" s="516"/>
      <c r="N402" s="1043" t="s">
        <v>644</v>
      </c>
      <c r="O402" s="1043"/>
      <c r="P402" s="1043"/>
      <c r="Q402" s="1043"/>
      <c r="R402" s="1043"/>
      <c r="S402" s="1043"/>
      <c r="T402" s="1043"/>
      <c r="U402" s="1043"/>
      <c r="V402" s="517"/>
    </row>
    <row r="403" spans="2:22" ht="17.45" customHeight="1">
      <c r="B403" s="518"/>
      <c r="C403" s="1064" t="s">
        <v>321</v>
      </c>
      <c r="D403" s="1064"/>
      <c r="E403" s="1065" t="s">
        <v>488</v>
      </c>
      <c r="F403" s="1065"/>
      <c r="G403" s="1065"/>
      <c r="H403" s="1065"/>
      <c r="I403" s="1065"/>
      <c r="J403" s="1065"/>
      <c r="K403" s="1066" t="s">
        <v>322</v>
      </c>
      <c r="L403" s="1066"/>
      <c r="M403" s="211"/>
      <c r="N403" s="1067" t="s">
        <v>489</v>
      </c>
      <c r="O403" s="1067"/>
      <c r="P403" s="1067"/>
      <c r="Q403" s="541"/>
      <c r="R403" s="541"/>
      <c r="S403" s="211"/>
      <c r="T403" s="211"/>
      <c r="U403" s="211"/>
      <c r="V403" s="519"/>
    </row>
    <row r="404" spans="2:22" ht="17.45" customHeight="1">
      <c r="B404" s="520"/>
      <c r="C404" s="1064"/>
      <c r="D404" s="1064"/>
      <c r="E404" s="1065"/>
      <c r="F404" s="1065"/>
      <c r="G404" s="1065"/>
      <c r="H404" s="1065"/>
      <c r="I404" s="1065"/>
      <c r="J404" s="1065"/>
      <c r="K404" s="1068" t="s">
        <v>324</v>
      </c>
      <c r="L404" s="1068"/>
      <c r="M404" s="212"/>
      <c r="N404" s="1069">
        <v>1</v>
      </c>
      <c r="O404" s="1069"/>
      <c r="P404" s="1069"/>
      <c r="Q404" s="542"/>
      <c r="R404" s="1068" t="s">
        <v>325</v>
      </c>
      <c r="S404" s="1068"/>
      <c r="T404" s="212"/>
      <c r="U404" s="213" t="s">
        <v>326</v>
      </c>
      <c r="V404" s="521"/>
    </row>
    <row r="405" spans="2:22" ht="17.45" customHeight="1">
      <c r="B405" s="1050" t="s">
        <v>327</v>
      </c>
      <c r="C405" s="1051"/>
      <c r="D405" s="1052" t="s">
        <v>234</v>
      </c>
      <c r="E405" s="1052"/>
      <c r="F405" s="1052"/>
      <c r="G405" s="1052"/>
      <c r="H405" s="1052"/>
      <c r="I405" s="1052"/>
      <c r="J405" s="1051" t="s">
        <v>241</v>
      </c>
      <c r="K405" s="1051"/>
      <c r="L405" s="1051" t="s">
        <v>245</v>
      </c>
      <c r="M405" s="1051"/>
      <c r="N405" s="1051"/>
      <c r="O405" s="1053" t="s">
        <v>328</v>
      </c>
      <c r="P405" s="1053"/>
      <c r="Q405" s="1053"/>
      <c r="R405" s="1053"/>
      <c r="S405" s="1052" t="s">
        <v>329</v>
      </c>
      <c r="T405" s="1052"/>
      <c r="U405" s="1052"/>
      <c r="V405" s="1054"/>
    </row>
    <row r="406" spans="2:22" ht="17.45" customHeight="1">
      <c r="B406" s="522"/>
      <c r="C406" s="264" t="s">
        <v>333</v>
      </c>
      <c r="D406" s="1055" t="s">
        <v>334</v>
      </c>
      <c r="E406" s="1055"/>
      <c r="F406" s="1055"/>
      <c r="G406" s="1055"/>
      <c r="H406" s="1055"/>
      <c r="I406" s="1055"/>
      <c r="J406" s="1060" t="s">
        <v>335</v>
      </c>
      <c r="K406" s="1060"/>
      <c r="L406" s="1056">
        <v>0.5</v>
      </c>
      <c r="M406" s="1056"/>
      <c r="N406" s="1056"/>
      <c r="O406" s="1010">
        <v>23.95</v>
      </c>
      <c r="P406" s="1010"/>
      <c r="Q406" s="1010"/>
      <c r="R406" s="1010"/>
      <c r="S406" s="1061">
        <f>L406*O406</f>
        <v>11.975</v>
      </c>
      <c r="T406" s="1061"/>
      <c r="U406" s="1061"/>
      <c r="V406" s="1062"/>
    </row>
    <row r="407" spans="2:22" ht="17.45" customHeight="1">
      <c r="B407" s="523"/>
      <c r="C407" s="263" t="s">
        <v>336</v>
      </c>
      <c r="D407" s="1037" t="s">
        <v>337</v>
      </c>
      <c r="E407" s="1037"/>
      <c r="F407" s="1037"/>
      <c r="G407" s="1037"/>
      <c r="H407" s="1037"/>
      <c r="I407" s="1037"/>
      <c r="J407" s="1038" t="s">
        <v>335</v>
      </c>
      <c r="K407" s="1038"/>
      <c r="L407" s="1039">
        <v>1.5</v>
      </c>
      <c r="M407" s="1039"/>
      <c r="N407" s="1039"/>
      <c r="O407" s="1040">
        <v>19.28</v>
      </c>
      <c r="P407" s="1040"/>
      <c r="Q407" s="1040"/>
      <c r="R407" s="1040"/>
      <c r="S407" s="1011">
        <f t="shared" ref="S407:S410" si="14">L407*O407</f>
        <v>28.92</v>
      </c>
      <c r="T407" s="1012"/>
      <c r="U407" s="1012"/>
      <c r="V407" s="1013"/>
    </row>
    <row r="408" spans="2:22" ht="17.45" customHeight="1">
      <c r="B408" s="523"/>
      <c r="C408" s="263">
        <v>4472</v>
      </c>
      <c r="D408" s="1037" t="s">
        <v>490</v>
      </c>
      <c r="E408" s="1037"/>
      <c r="F408" s="1037"/>
      <c r="G408" s="1037"/>
      <c r="H408" s="1037"/>
      <c r="I408" s="1037"/>
      <c r="J408" s="1038" t="s">
        <v>340</v>
      </c>
      <c r="K408" s="1038"/>
      <c r="L408" s="1039">
        <v>0.76190000000000002</v>
      </c>
      <c r="M408" s="1039"/>
      <c r="N408" s="1039"/>
      <c r="O408" s="1040">
        <v>33.11</v>
      </c>
      <c r="P408" s="1040"/>
      <c r="Q408" s="1040"/>
      <c r="R408" s="1040"/>
      <c r="S408" s="1011">
        <f t="shared" si="14"/>
        <v>25.226509</v>
      </c>
      <c r="T408" s="1012"/>
      <c r="U408" s="1012"/>
      <c r="V408" s="1013"/>
    </row>
    <row r="409" spans="2:22" ht="17.45" customHeight="1">
      <c r="B409" s="523"/>
      <c r="C409" s="263">
        <v>5061</v>
      </c>
      <c r="D409" s="1037" t="s">
        <v>485</v>
      </c>
      <c r="E409" s="1037"/>
      <c r="F409" s="1037"/>
      <c r="G409" s="1037"/>
      <c r="H409" s="1037"/>
      <c r="I409" s="1037"/>
      <c r="J409" s="1038" t="s">
        <v>346</v>
      </c>
      <c r="K409" s="1038"/>
      <c r="L409" s="1039">
        <v>0.2</v>
      </c>
      <c r="M409" s="1039"/>
      <c r="N409" s="1039"/>
      <c r="O409" s="1040">
        <v>25.9</v>
      </c>
      <c r="P409" s="1040"/>
      <c r="Q409" s="1040"/>
      <c r="R409" s="1040"/>
      <c r="S409" s="1011">
        <f t="shared" si="14"/>
        <v>5.18</v>
      </c>
      <c r="T409" s="1012"/>
      <c r="U409" s="1012"/>
      <c r="V409" s="1013"/>
    </row>
    <row r="410" spans="2:22" ht="17.45" customHeight="1">
      <c r="B410" s="524"/>
      <c r="C410" s="262">
        <v>6189</v>
      </c>
      <c r="D410" s="1019" t="s">
        <v>492</v>
      </c>
      <c r="E410" s="1019"/>
      <c r="F410" s="1019"/>
      <c r="G410" s="1019"/>
      <c r="H410" s="1019"/>
      <c r="I410" s="1019"/>
      <c r="J410" s="1020" t="s">
        <v>340</v>
      </c>
      <c r="K410" s="1020"/>
      <c r="L410" s="1021">
        <v>0.42849999999999999</v>
      </c>
      <c r="M410" s="1021"/>
      <c r="N410" s="1021"/>
      <c r="O410" s="1022">
        <v>25.84</v>
      </c>
      <c r="P410" s="1022"/>
      <c r="Q410" s="1022"/>
      <c r="R410" s="1022"/>
      <c r="S410" s="1057">
        <f t="shared" si="14"/>
        <v>11.07244</v>
      </c>
      <c r="T410" s="1058"/>
      <c r="U410" s="1058"/>
      <c r="V410" s="1059"/>
    </row>
    <row r="411" spans="2:22" ht="17.45" customHeight="1">
      <c r="B411" s="1023"/>
      <c r="C411" s="1024"/>
      <c r="D411" s="1024"/>
      <c r="E411" s="1024"/>
      <c r="F411" s="1024"/>
      <c r="G411" s="1024"/>
      <c r="H411" s="1024"/>
      <c r="I411" s="1025" t="s">
        <v>347</v>
      </c>
      <c r="J411" s="1025"/>
      <c r="K411" s="1025"/>
      <c r="L411" s="1025"/>
      <c r="M411" s="1025"/>
      <c r="N411" s="1025"/>
      <c r="O411" s="1025"/>
      <c r="P411" s="1025"/>
      <c r="Q411" s="1025"/>
      <c r="R411" s="1025"/>
      <c r="S411" s="1026">
        <f>SUM(S406:V410)</f>
        <v>82.37394900000001</v>
      </c>
      <c r="T411" s="1026"/>
      <c r="U411" s="1026"/>
      <c r="V411" s="1027"/>
    </row>
    <row r="412" spans="2:22" ht="17.45" customHeight="1">
      <c r="B412" s="1028"/>
      <c r="C412" s="1029"/>
      <c r="D412" s="1029"/>
      <c r="E412" s="1029"/>
      <c r="F412" s="1029"/>
      <c r="G412" s="1029"/>
      <c r="H412" s="1029"/>
      <c r="I412" s="1029"/>
      <c r="J412" s="1029"/>
      <c r="K412" s="1029"/>
      <c r="L412" s="1029"/>
      <c r="M412" s="1029"/>
      <c r="N412" s="1029"/>
      <c r="O412" s="1029"/>
      <c r="P412" s="1029"/>
      <c r="Q412" s="1029"/>
      <c r="R412" s="1029"/>
      <c r="S412" s="1029"/>
      <c r="T412" s="1029"/>
      <c r="U412" s="1029"/>
      <c r="V412" s="1030"/>
    </row>
    <row r="413" spans="2:22" ht="17.45" customHeight="1">
      <c r="B413" s="1031"/>
      <c r="C413" s="1032"/>
      <c r="D413" s="1032"/>
      <c r="E413" s="1032"/>
      <c r="F413" s="1032"/>
      <c r="G413" s="1032"/>
      <c r="H413" s="1032"/>
      <c r="I413" s="1033" t="s">
        <v>348</v>
      </c>
      <c r="J413" s="1033"/>
      <c r="K413" s="1033"/>
      <c r="L413" s="1033"/>
      <c r="M413" s="1033"/>
      <c r="N413" s="1033"/>
      <c r="O413" s="1033"/>
      <c r="P413" s="1033"/>
      <c r="Q413" s="1033"/>
      <c r="R413" s="1033"/>
      <c r="S413" s="1012">
        <f>S411</f>
        <v>82.37394900000001</v>
      </c>
      <c r="T413" s="1012"/>
      <c r="U413" s="1012"/>
      <c r="V413" s="1013"/>
    </row>
    <row r="414" spans="2:22" ht="17.45" customHeight="1">
      <c r="B414" s="1031"/>
      <c r="C414" s="1032"/>
      <c r="D414" s="1032"/>
      <c r="E414" s="1032"/>
      <c r="F414" s="1032"/>
      <c r="G414" s="1032"/>
      <c r="H414" s="1033" t="s">
        <v>349</v>
      </c>
      <c r="I414" s="1033"/>
      <c r="J414" s="1033"/>
      <c r="K414" s="1033"/>
      <c r="L414" s="1033"/>
      <c r="M414" s="1035">
        <v>20.7</v>
      </c>
      <c r="N414" s="1035"/>
      <c r="O414" s="1035"/>
      <c r="P414" s="1036" t="s">
        <v>350</v>
      </c>
      <c r="Q414" s="1036"/>
      <c r="R414" s="1036"/>
      <c r="S414" s="1012">
        <f>TRUNC(S413*M414%,2)</f>
        <v>17.05</v>
      </c>
      <c r="T414" s="1012"/>
      <c r="U414" s="1012"/>
      <c r="V414" s="1013"/>
    </row>
    <row r="415" spans="2:22" ht="17.45" customHeight="1">
      <c r="B415" s="1014"/>
      <c r="C415" s="1015"/>
      <c r="D415" s="1015"/>
      <c r="E415" s="1015"/>
      <c r="F415" s="1015"/>
      <c r="G415" s="1015"/>
      <c r="H415" s="1015"/>
      <c r="I415" s="1016" t="s">
        <v>351</v>
      </c>
      <c r="J415" s="1016"/>
      <c r="K415" s="1016"/>
      <c r="L415" s="1016"/>
      <c r="M415" s="1016"/>
      <c r="N415" s="1016"/>
      <c r="O415" s="1016"/>
      <c r="P415" s="1016"/>
      <c r="Q415" s="1016"/>
      <c r="R415" s="1016"/>
      <c r="S415" s="1017">
        <f>S413+S414</f>
        <v>99.423949000000007</v>
      </c>
      <c r="T415" s="1017"/>
      <c r="U415" s="1017"/>
      <c r="V415" s="1018"/>
    </row>
    <row r="416" spans="2:22" ht="144.94999999999999" customHeight="1">
      <c r="B416" s="214"/>
      <c r="V416" s="217"/>
    </row>
    <row r="417" spans="2:22" ht="144.94999999999999" customHeight="1">
      <c r="B417" s="214"/>
      <c r="V417" s="217"/>
    </row>
    <row r="418" spans="2:22" ht="144.94999999999999" customHeight="1">
      <c r="B418" s="214"/>
      <c r="V418" s="217"/>
    </row>
    <row r="419" spans="2:22" ht="55.5" customHeight="1">
      <c r="B419" s="214"/>
      <c r="C419" s="525"/>
      <c r="D419" s="526"/>
      <c r="E419" s="526"/>
      <c r="F419" s="526"/>
      <c r="G419" s="526"/>
      <c r="H419" s="526"/>
      <c r="I419" s="526"/>
      <c r="J419" s="526"/>
      <c r="K419" s="525"/>
      <c r="L419" s="525"/>
      <c r="M419" s="525"/>
      <c r="N419" s="525"/>
      <c r="O419" s="543"/>
      <c r="P419" s="543"/>
      <c r="Q419" s="543"/>
      <c r="R419" s="543"/>
      <c r="S419" s="525"/>
      <c r="T419" s="525"/>
      <c r="U419" s="525"/>
      <c r="V419" s="217"/>
    </row>
    <row r="420" spans="2:22" ht="17.45" customHeight="1">
      <c r="B420" s="514"/>
      <c r="C420" s="1063" t="s">
        <v>320</v>
      </c>
      <c r="D420" s="1063"/>
      <c r="E420" s="1063"/>
      <c r="F420" s="515"/>
      <c r="G420" s="1042" t="str">
        <f>G383</f>
        <v>Data Base: Dez./2022 (SINAPI) e Jul./2022 (SICRO) sem desoneração</v>
      </c>
      <c r="H420" s="1042"/>
      <c r="I420" s="1042"/>
      <c r="J420" s="1042"/>
      <c r="K420" s="1042"/>
      <c r="L420" s="1042"/>
      <c r="M420" s="516"/>
      <c r="N420" s="1043" t="s">
        <v>644</v>
      </c>
      <c r="O420" s="1043"/>
      <c r="P420" s="1043"/>
      <c r="Q420" s="1043"/>
      <c r="R420" s="1043"/>
      <c r="S420" s="1043"/>
      <c r="T420" s="1043"/>
      <c r="U420" s="1043"/>
      <c r="V420" s="517"/>
    </row>
    <row r="421" spans="2:22" ht="17.45" customHeight="1">
      <c r="B421" s="518"/>
      <c r="C421" s="1064" t="s">
        <v>321</v>
      </c>
      <c r="D421" s="1064"/>
      <c r="E421" s="1065" t="s">
        <v>493</v>
      </c>
      <c r="F421" s="1065"/>
      <c r="G421" s="1065"/>
      <c r="H421" s="1065"/>
      <c r="I421" s="1065"/>
      <c r="J421" s="1065"/>
      <c r="K421" s="1066" t="s">
        <v>322</v>
      </c>
      <c r="L421" s="1066"/>
      <c r="M421" s="211"/>
      <c r="N421" s="1067" t="s">
        <v>494</v>
      </c>
      <c r="O421" s="1067"/>
      <c r="P421" s="1067"/>
      <c r="Q421" s="541"/>
      <c r="R421" s="541"/>
      <c r="S421" s="211"/>
      <c r="T421" s="211"/>
      <c r="U421" s="211"/>
      <c r="V421" s="519"/>
    </row>
    <row r="422" spans="2:22" ht="17.45" customHeight="1">
      <c r="B422" s="520"/>
      <c r="C422" s="1064"/>
      <c r="D422" s="1064"/>
      <c r="E422" s="1065"/>
      <c r="F422" s="1065"/>
      <c r="G422" s="1065"/>
      <c r="H422" s="1065"/>
      <c r="I422" s="1065"/>
      <c r="J422" s="1065"/>
      <c r="K422" s="1068" t="s">
        <v>324</v>
      </c>
      <c r="L422" s="1068"/>
      <c r="M422" s="212"/>
      <c r="N422" s="1069">
        <v>1</v>
      </c>
      <c r="O422" s="1069"/>
      <c r="P422" s="1069"/>
      <c r="Q422" s="542"/>
      <c r="R422" s="1068" t="s">
        <v>325</v>
      </c>
      <c r="S422" s="1068"/>
      <c r="T422" s="212"/>
      <c r="U422" s="213" t="s">
        <v>326</v>
      </c>
      <c r="V422" s="521"/>
    </row>
    <row r="423" spans="2:22" ht="17.45" customHeight="1">
      <c r="B423" s="1050" t="s">
        <v>327</v>
      </c>
      <c r="C423" s="1051"/>
      <c r="D423" s="1052" t="s">
        <v>234</v>
      </c>
      <c r="E423" s="1052"/>
      <c r="F423" s="1052"/>
      <c r="G423" s="1052"/>
      <c r="H423" s="1052"/>
      <c r="I423" s="1052"/>
      <c r="J423" s="1051" t="s">
        <v>241</v>
      </c>
      <c r="K423" s="1051"/>
      <c r="L423" s="1051" t="s">
        <v>245</v>
      </c>
      <c r="M423" s="1051"/>
      <c r="N423" s="1051"/>
      <c r="O423" s="1053" t="s">
        <v>328</v>
      </c>
      <c r="P423" s="1053"/>
      <c r="Q423" s="1053"/>
      <c r="R423" s="1053"/>
      <c r="S423" s="1052" t="s">
        <v>329</v>
      </c>
      <c r="T423" s="1052"/>
      <c r="U423" s="1052"/>
      <c r="V423" s="1054"/>
    </row>
    <row r="424" spans="2:22" ht="17.45" customHeight="1">
      <c r="B424" s="522"/>
      <c r="C424" s="264" t="s">
        <v>471</v>
      </c>
      <c r="D424" s="1055" t="s">
        <v>472</v>
      </c>
      <c r="E424" s="1055"/>
      <c r="F424" s="1055"/>
      <c r="G424" s="1055"/>
      <c r="H424" s="1055"/>
      <c r="I424" s="1055"/>
      <c r="J424" s="1060" t="s">
        <v>335</v>
      </c>
      <c r="K424" s="1060"/>
      <c r="L424" s="1056">
        <v>0.104</v>
      </c>
      <c r="M424" s="1056"/>
      <c r="N424" s="1056"/>
      <c r="O424" s="1010">
        <v>24.32</v>
      </c>
      <c r="P424" s="1010"/>
      <c r="Q424" s="1010"/>
      <c r="R424" s="1010"/>
      <c r="S424" s="1061">
        <f>L424*O424</f>
        <v>2.52928</v>
      </c>
      <c r="T424" s="1061"/>
      <c r="U424" s="1061"/>
      <c r="V424" s="1062"/>
    </row>
    <row r="425" spans="2:22" ht="17.45" customHeight="1">
      <c r="B425" s="523"/>
      <c r="C425" s="263" t="s">
        <v>336</v>
      </c>
      <c r="D425" s="1037" t="s">
        <v>337</v>
      </c>
      <c r="E425" s="1037"/>
      <c r="F425" s="1037"/>
      <c r="G425" s="1037"/>
      <c r="H425" s="1037"/>
      <c r="I425" s="1037"/>
      <c r="J425" s="1038" t="s">
        <v>335</v>
      </c>
      <c r="K425" s="1038"/>
      <c r="L425" s="1039">
        <v>0.156</v>
      </c>
      <c r="M425" s="1039"/>
      <c r="N425" s="1039"/>
      <c r="O425" s="1040">
        <v>19.28</v>
      </c>
      <c r="P425" s="1040"/>
      <c r="Q425" s="1040"/>
      <c r="R425" s="1040"/>
      <c r="S425" s="1011">
        <f t="shared" ref="S425:S427" si="15">L425*O425</f>
        <v>3.0076800000000001</v>
      </c>
      <c r="T425" s="1012"/>
      <c r="U425" s="1012"/>
      <c r="V425" s="1013"/>
    </row>
    <row r="426" spans="2:22" ht="17.45" customHeight="1">
      <c r="B426" s="523"/>
      <c r="C426" s="263">
        <v>91533</v>
      </c>
      <c r="D426" s="1037" t="s">
        <v>496</v>
      </c>
      <c r="E426" s="1037"/>
      <c r="F426" s="1037"/>
      <c r="G426" s="1037"/>
      <c r="H426" s="1037"/>
      <c r="I426" s="1037"/>
      <c r="J426" s="1038" t="s">
        <v>397</v>
      </c>
      <c r="K426" s="1038"/>
      <c r="L426" s="1039">
        <v>3.0000000000000001E-3</v>
      </c>
      <c r="M426" s="1039"/>
      <c r="N426" s="1039"/>
      <c r="O426" s="1040">
        <v>25.4</v>
      </c>
      <c r="P426" s="1040"/>
      <c r="Q426" s="1040"/>
      <c r="R426" s="1040"/>
      <c r="S426" s="1011">
        <f t="shared" si="15"/>
        <v>7.6200000000000004E-2</v>
      </c>
      <c r="T426" s="1012"/>
      <c r="U426" s="1012"/>
      <c r="V426" s="1013"/>
    </row>
    <row r="427" spans="2:22" ht="17.45" customHeight="1">
      <c r="B427" s="524"/>
      <c r="C427" s="262" t="s">
        <v>497</v>
      </c>
      <c r="D427" s="1019" t="s">
        <v>496</v>
      </c>
      <c r="E427" s="1019"/>
      <c r="F427" s="1019"/>
      <c r="G427" s="1019"/>
      <c r="H427" s="1019"/>
      <c r="I427" s="1019"/>
      <c r="J427" s="1020" t="s">
        <v>404</v>
      </c>
      <c r="K427" s="1020"/>
      <c r="L427" s="1021">
        <v>3.0000000000000001E-3</v>
      </c>
      <c r="M427" s="1021"/>
      <c r="N427" s="1021"/>
      <c r="O427" s="1022">
        <v>19.3</v>
      </c>
      <c r="P427" s="1022"/>
      <c r="Q427" s="1022"/>
      <c r="R427" s="1022"/>
      <c r="S427" s="1057">
        <f t="shared" si="15"/>
        <v>5.79E-2</v>
      </c>
      <c r="T427" s="1058"/>
      <c r="U427" s="1058"/>
      <c r="V427" s="1059"/>
    </row>
    <row r="428" spans="2:22" ht="17.45" customHeight="1">
      <c r="B428" s="1023"/>
      <c r="C428" s="1024"/>
      <c r="D428" s="1024"/>
      <c r="E428" s="1024"/>
      <c r="F428" s="1024"/>
      <c r="G428" s="1024"/>
      <c r="H428" s="1024"/>
      <c r="I428" s="1025" t="s">
        <v>347</v>
      </c>
      <c r="J428" s="1025"/>
      <c r="K428" s="1025"/>
      <c r="L428" s="1025"/>
      <c r="M428" s="1025"/>
      <c r="N428" s="1025"/>
      <c r="O428" s="1025"/>
      <c r="P428" s="1025"/>
      <c r="Q428" s="1025"/>
      <c r="R428" s="1025"/>
      <c r="S428" s="1026">
        <f>SUM(S424:V427)</f>
        <v>5.6710600000000007</v>
      </c>
      <c r="T428" s="1026"/>
      <c r="U428" s="1026"/>
      <c r="V428" s="1027"/>
    </row>
    <row r="429" spans="2:22" ht="17.45" customHeight="1">
      <c r="B429" s="1028"/>
      <c r="C429" s="1029"/>
      <c r="D429" s="1029"/>
      <c r="E429" s="1029"/>
      <c r="F429" s="1029"/>
      <c r="G429" s="1029"/>
      <c r="H429" s="1029"/>
      <c r="I429" s="1029"/>
      <c r="J429" s="1029"/>
      <c r="K429" s="1029"/>
      <c r="L429" s="1029"/>
      <c r="M429" s="1029"/>
      <c r="N429" s="1029"/>
      <c r="O429" s="1029"/>
      <c r="P429" s="1029"/>
      <c r="Q429" s="1029"/>
      <c r="R429" s="1029"/>
      <c r="S429" s="1029"/>
      <c r="T429" s="1029"/>
      <c r="U429" s="1029"/>
      <c r="V429" s="1030"/>
    </row>
    <row r="430" spans="2:22" ht="17.45" customHeight="1">
      <c r="B430" s="1031"/>
      <c r="C430" s="1032"/>
      <c r="D430" s="1032"/>
      <c r="E430" s="1032"/>
      <c r="F430" s="1032"/>
      <c r="G430" s="1032"/>
      <c r="H430" s="1032"/>
      <c r="I430" s="1033" t="s">
        <v>348</v>
      </c>
      <c r="J430" s="1033"/>
      <c r="K430" s="1033"/>
      <c r="L430" s="1033"/>
      <c r="M430" s="1033"/>
      <c r="N430" s="1033"/>
      <c r="O430" s="1033"/>
      <c r="P430" s="1033"/>
      <c r="Q430" s="1033"/>
      <c r="R430" s="1033"/>
      <c r="S430" s="1012">
        <f>S428</f>
        <v>5.6710600000000007</v>
      </c>
      <c r="T430" s="1012"/>
      <c r="U430" s="1012"/>
      <c r="V430" s="1013"/>
    </row>
    <row r="431" spans="2:22" ht="17.45" customHeight="1">
      <c r="B431" s="1031"/>
      <c r="C431" s="1032"/>
      <c r="D431" s="1032"/>
      <c r="E431" s="1032"/>
      <c r="F431" s="1032"/>
      <c r="G431" s="1032"/>
      <c r="H431" s="1033" t="s">
        <v>349</v>
      </c>
      <c r="I431" s="1033"/>
      <c r="J431" s="1033"/>
      <c r="K431" s="1033"/>
      <c r="L431" s="1033"/>
      <c r="M431" s="1035">
        <v>20.7</v>
      </c>
      <c r="N431" s="1035"/>
      <c r="O431" s="1035"/>
      <c r="P431" s="1036" t="s">
        <v>350</v>
      </c>
      <c r="Q431" s="1036"/>
      <c r="R431" s="1036"/>
      <c r="S431" s="1012">
        <f>TRUNC(S430*M431%,2)</f>
        <v>1.17</v>
      </c>
      <c r="T431" s="1012"/>
      <c r="U431" s="1012"/>
      <c r="V431" s="1013"/>
    </row>
    <row r="432" spans="2:22" ht="17.45" customHeight="1">
      <c r="B432" s="1014"/>
      <c r="C432" s="1015"/>
      <c r="D432" s="1015"/>
      <c r="E432" s="1015"/>
      <c r="F432" s="1015"/>
      <c r="G432" s="1015"/>
      <c r="H432" s="1015"/>
      <c r="I432" s="1016" t="s">
        <v>351</v>
      </c>
      <c r="J432" s="1016"/>
      <c r="K432" s="1016"/>
      <c r="L432" s="1016"/>
      <c r="M432" s="1016"/>
      <c r="N432" s="1016"/>
      <c r="O432" s="1016"/>
      <c r="P432" s="1016"/>
      <c r="Q432" s="1016"/>
      <c r="R432" s="1016"/>
      <c r="S432" s="1017">
        <f>S430+S431</f>
        <v>6.8410600000000006</v>
      </c>
      <c r="T432" s="1017"/>
      <c r="U432" s="1017"/>
      <c r="V432" s="1018"/>
    </row>
    <row r="433" spans="2:22" ht="144.94999999999999" customHeight="1">
      <c r="B433" s="214"/>
      <c r="V433" s="217"/>
    </row>
    <row r="434" spans="2:22" ht="144.94999999999999" customHeight="1">
      <c r="B434" s="214"/>
      <c r="V434" s="217"/>
    </row>
    <row r="435" spans="2:22" ht="144.94999999999999" customHeight="1">
      <c r="B435" s="214"/>
      <c r="V435" s="217"/>
    </row>
    <row r="436" spans="2:22" ht="72.75" customHeight="1">
      <c r="B436" s="214"/>
      <c r="C436" s="525"/>
      <c r="D436" s="526"/>
      <c r="E436" s="526"/>
      <c r="F436" s="526"/>
      <c r="G436" s="526"/>
      <c r="H436" s="526"/>
      <c r="I436" s="526"/>
      <c r="J436" s="526"/>
      <c r="K436" s="525"/>
      <c r="L436" s="525"/>
      <c r="M436" s="525"/>
      <c r="N436" s="525"/>
      <c r="O436" s="543"/>
      <c r="P436" s="543"/>
      <c r="Q436" s="543"/>
      <c r="R436" s="543"/>
      <c r="S436" s="525"/>
      <c r="T436" s="525"/>
      <c r="U436" s="525"/>
      <c r="V436" s="217"/>
    </row>
    <row r="437" spans="2:22" ht="17.45" customHeight="1">
      <c r="B437" s="514"/>
      <c r="C437" s="1063" t="s">
        <v>320</v>
      </c>
      <c r="D437" s="1063"/>
      <c r="E437" s="1063"/>
      <c r="F437" s="515"/>
      <c r="G437" s="1042" t="str">
        <f>G420</f>
        <v>Data Base: Dez./2022 (SINAPI) e Jul./2022 (SICRO) sem desoneração</v>
      </c>
      <c r="H437" s="1042"/>
      <c r="I437" s="1042"/>
      <c r="J437" s="1042"/>
      <c r="K437" s="1042"/>
      <c r="L437" s="1042"/>
      <c r="M437" s="516"/>
      <c r="N437" s="1043" t="s">
        <v>644</v>
      </c>
      <c r="O437" s="1043"/>
      <c r="P437" s="1043"/>
      <c r="Q437" s="1043"/>
      <c r="R437" s="1043"/>
      <c r="S437" s="1043"/>
      <c r="T437" s="1043"/>
      <c r="U437" s="1043"/>
      <c r="V437" s="517"/>
    </row>
    <row r="438" spans="2:22" ht="17.45" customHeight="1">
      <c r="B438" s="518"/>
      <c r="C438" s="1064" t="s">
        <v>321</v>
      </c>
      <c r="D438" s="1064"/>
      <c r="E438" s="1065" t="s">
        <v>498</v>
      </c>
      <c r="F438" s="1065"/>
      <c r="G438" s="1065"/>
      <c r="H438" s="1065"/>
      <c r="I438" s="1065"/>
      <c r="J438" s="1065"/>
      <c r="K438" s="1066" t="s">
        <v>322</v>
      </c>
      <c r="L438" s="1066"/>
      <c r="M438" s="211"/>
      <c r="N438" s="1067" t="s">
        <v>499</v>
      </c>
      <c r="O438" s="1067"/>
      <c r="P438" s="1067"/>
      <c r="Q438" s="541"/>
      <c r="R438" s="541"/>
      <c r="S438" s="211"/>
      <c r="T438" s="211"/>
      <c r="U438" s="211"/>
      <c r="V438" s="519"/>
    </row>
    <row r="439" spans="2:22" ht="17.45" customHeight="1">
      <c r="B439" s="520"/>
      <c r="C439" s="1064"/>
      <c r="D439" s="1064"/>
      <c r="E439" s="1065"/>
      <c r="F439" s="1065"/>
      <c r="G439" s="1065"/>
      <c r="H439" s="1065"/>
      <c r="I439" s="1065"/>
      <c r="J439" s="1065"/>
      <c r="K439" s="1068" t="s">
        <v>324</v>
      </c>
      <c r="L439" s="1068"/>
      <c r="M439" s="212"/>
      <c r="N439" s="1069">
        <v>1</v>
      </c>
      <c r="O439" s="1069"/>
      <c r="P439" s="1069"/>
      <c r="Q439" s="542"/>
      <c r="R439" s="1068" t="s">
        <v>325</v>
      </c>
      <c r="S439" s="1068"/>
      <c r="T439" s="212"/>
      <c r="U439" s="213" t="s">
        <v>332</v>
      </c>
      <c r="V439" s="521"/>
    </row>
    <row r="440" spans="2:22" ht="17.45" customHeight="1">
      <c r="B440" s="1050" t="s">
        <v>327</v>
      </c>
      <c r="C440" s="1051"/>
      <c r="D440" s="1052" t="s">
        <v>234</v>
      </c>
      <c r="E440" s="1052"/>
      <c r="F440" s="1052"/>
      <c r="G440" s="1052"/>
      <c r="H440" s="1052"/>
      <c r="I440" s="1052"/>
      <c r="J440" s="1051" t="s">
        <v>241</v>
      </c>
      <c r="K440" s="1051"/>
      <c r="L440" s="1051" t="s">
        <v>245</v>
      </c>
      <c r="M440" s="1051"/>
      <c r="N440" s="1051"/>
      <c r="O440" s="1053" t="s">
        <v>328</v>
      </c>
      <c r="P440" s="1053"/>
      <c r="Q440" s="1053"/>
      <c r="R440" s="1053"/>
      <c r="S440" s="1052" t="s">
        <v>329</v>
      </c>
      <c r="T440" s="1052"/>
      <c r="U440" s="1052"/>
      <c r="V440" s="1054"/>
    </row>
    <row r="441" spans="2:22" ht="17.45" customHeight="1">
      <c r="B441" s="522"/>
      <c r="C441" s="264" t="s">
        <v>471</v>
      </c>
      <c r="D441" s="1055" t="s">
        <v>472</v>
      </c>
      <c r="E441" s="1055"/>
      <c r="F441" s="1055"/>
      <c r="G441" s="1055"/>
      <c r="H441" s="1055"/>
      <c r="I441" s="1055"/>
      <c r="J441" s="1060" t="s">
        <v>335</v>
      </c>
      <c r="K441" s="1060"/>
      <c r="L441" s="1056">
        <v>2.5459999999999998</v>
      </c>
      <c r="M441" s="1056"/>
      <c r="N441" s="1056"/>
      <c r="O441" s="1010">
        <v>24.32</v>
      </c>
      <c r="P441" s="1010"/>
      <c r="Q441" s="1010"/>
      <c r="R441" s="1010"/>
      <c r="S441" s="1061">
        <f>L441*O441</f>
        <v>61.918719999999993</v>
      </c>
      <c r="T441" s="1061"/>
      <c r="U441" s="1061"/>
      <c r="V441" s="1062"/>
    </row>
    <row r="442" spans="2:22" ht="17.45" customHeight="1">
      <c r="B442" s="523"/>
      <c r="C442" s="263" t="s">
        <v>336</v>
      </c>
      <c r="D442" s="1037" t="s">
        <v>337</v>
      </c>
      <c r="E442" s="1037"/>
      <c r="F442" s="1037"/>
      <c r="G442" s="1037"/>
      <c r="H442" s="1037"/>
      <c r="I442" s="1037"/>
      <c r="J442" s="1038" t="s">
        <v>335</v>
      </c>
      <c r="K442" s="1038"/>
      <c r="L442" s="1039">
        <v>3.819</v>
      </c>
      <c r="M442" s="1039"/>
      <c r="N442" s="1039"/>
      <c r="O442" s="1040">
        <v>19.28</v>
      </c>
      <c r="P442" s="1040"/>
      <c r="Q442" s="1040"/>
      <c r="R442" s="1040"/>
      <c r="S442" s="1011">
        <f t="shared" ref="S442:S445" si="16">L442*O442</f>
        <v>73.630319999999998</v>
      </c>
      <c r="T442" s="1012"/>
      <c r="U442" s="1012"/>
      <c r="V442" s="1013"/>
    </row>
    <row r="443" spans="2:22" ht="17.45" customHeight="1">
      <c r="B443" s="523"/>
      <c r="C443" s="263" t="s">
        <v>495</v>
      </c>
      <c r="D443" s="1037" t="s">
        <v>496</v>
      </c>
      <c r="E443" s="1037"/>
      <c r="F443" s="1037"/>
      <c r="G443" s="1037"/>
      <c r="H443" s="1037"/>
      <c r="I443" s="1037"/>
      <c r="J443" s="1038" t="s">
        <v>397</v>
      </c>
      <c r="K443" s="1038"/>
      <c r="L443" s="1039">
        <v>6.9000000000000006E-2</v>
      </c>
      <c r="M443" s="1039"/>
      <c r="N443" s="1039"/>
      <c r="O443" s="1040">
        <v>25.4</v>
      </c>
      <c r="P443" s="1040"/>
      <c r="Q443" s="1040"/>
      <c r="R443" s="1040"/>
      <c r="S443" s="1011">
        <f t="shared" si="16"/>
        <v>1.7526000000000002</v>
      </c>
      <c r="T443" s="1012"/>
      <c r="U443" s="1012"/>
      <c r="V443" s="1013"/>
    </row>
    <row r="444" spans="2:22" ht="17.45" customHeight="1">
      <c r="B444" s="523"/>
      <c r="C444" s="263" t="s">
        <v>497</v>
      </c>
      <c r="D444" s="1037" t="s">
        <v>496</v>
      </c>
      <c r="E444" s="1037"/>
      <c r="F444" s="1037"/>
      <c r="G444" s="1037"/>
      <c r="H444" s="1037"/>
      <c r="I444" s="1037"/>
      <c r="J444" s="1038" t="s">
        <v>404</v>
      </c>
      <c r="K444" s="1038"/>
      <c r="L444" s="1039">
        <v>6.4000000000000001E-2</v>
      </c>
      <c r="M444" s="1039"/>
      <c r="N444" s="1039"/>
      <c r="O444" s="1040">
        <v>19.3</v>
      </c>
      <c r="P444" s="1040"/>
      <c r="Q444" s="1040"/>
      <c r="R444" s="1040"/>
      <c r="S444" s="1011">
        <f t="shared" si="16"/>
        <v>1.2352000000000001</v>
      </c>
      <c r="T444" s="1012"/>
      <c r="U444" s="1012"/>
      <c r="V444" s="1013"/>
    </row>
    <row r="445" spans="2:22" ht="17.45" customHeight="1">
      <c r="B445" s="524"/>
      <c r="C445" s="262" t="s">
        <v>500</v>
      </c>
      <c r="D445" s="1019" t="s">
        <v>501</v>
      </c>
      <c r="E445" s="1019"/>
      <c r="F445" s="1019"/>
      <c r="G445" s="1019"/>
      <c r="H445" s="1019"/>
      <c r="I445" s="1019"/>
      <c r="J445" s="1020" t="s">
        <v>332</v>
      </c>
      <c r="K445" s="1020"/>
      <c r="L445" s="1021">
        <v>1.1000000000000001</v>
      </c>
      <c r="M445" s="1021"/>
      <c r="N445" s="1021"/>
      <c r="O445" s="1022">
        <v>128.26</v>
      </c>
      <c r="P445" s="1022"/>
      <c r="Q445" s="1022"/>
      <c r="R445" s="1022"/>
      <c r="S445" s="1057">
        <f t="shared" si="16"/>
        <v>141.08600000000001</v>
      </c>
      <c r="T445" s="1058"/>
      <c r="U445" s="1058"/>
      <c r="V445" s="1059"/>
    </row>
    <row r="446" spans="2:22" ht="17.45" customHeight="1">
      <c r="B446" s="1023"/>
      <c r="C446" s="1024"/>
      <c r="D446" s="1024"/>
      <c r="E446" s="1024"/>
      <c r="F446" s="1024"/>
      <c r="G446" s="1024"/>
      <c r="H446" s="1024"/>
      <c r="I446" s="1025" t="s">
        <v>347</v>
      </c>
      <c r="J446" s="1025"/>
      <c r="K446" s="1025"/>
      <c r="L446" s="1025"/>
      <c r="M446" s="1025"/>
      <c r="N446" s="1025"/>
      <c r="O446" s="1025"/>
      <c r="P446" s="1025"/>
      <c r="Q446" s="1025"/>
      <c r="R446" s="1025"/>
      <c r="S446" s="1026">
        <f>SUM(S441:V445)</f>
        <v>279.62284</v>
      </c>
      <c r="T446" s="1026"/>
      <c r="U446" s="1026"/>
      <c r="V446" s="1027"/>
    </row>
    <row r="447" spans="2:22" ht="17.45" customHeight="1">
      <c r="B447" s="1028"/>
      <c r="C447" s="1029"/>
      <c r="D447" s="1029"/>
      <c r="E447" s="1029"/>
      <c r="F447" s="1029"/>
      <c r="G447" s="1029"/>
      <c r="H447" s="1029"/>
      <c r="I447" s="1029"/>
      <c r="J447" s="1029"/>
      <c r="K447" s="1029"/>
      <c r="L447" s="1029"/>
      <c r="M447" s="1029"/>
      <c r="N447" s="1029"/>
      <c r="O447" s="1029"/>
      <c r="P447" s="1029"/>
      <c r="Q447" s="1029"/>
      <c r="R447" s="1029"/>
      <c r="S447" s="1029"/>
      <c r="T447" s="1029"/>
      <c r="U447" s="1029"/>
      <c r="V447" s="1030"/>
    </row>
    <row r="448" spans="2:22" ht="17.45" customHeight="1">
      <c r="B448" s="1031"/>
      <c r="C448" s="1032"/>
      <c r="D448" s="1032"/>
      <c r="E448" s="1032"/>
      <c r="F448" s="1032"/>
      <c r="G448" s="1032"/>
      <c r="H448" s="1032"/>
      <c r="I448" s="1033" t="s">
        <v>348</v>
      </c>
      <c r="J448" s="1033"/>
      <c r="K448" s="1033"/>
      <c r="L448" s="1033"/>
      <c r="M448" s="1033"/>
      <c r="N448" s="1033"/>
      <c r="O448" s="1033"/>
      <c r="P448" s="1033"/>
      <c r="Q448" s="1033"/>
      <c r="R448" s="1033"/>
      <c r="S448" s="1012">
        <f>S446</f>
        <v>279.62284</v>
      </c>
      <c r="T448" s="1012"/>
      <c r="U448" s="1012"/>
      <c r="V448" s="1013"/>
    </row>
    <row r="449" spans="2:22" ht="17.45" customHeight="1">
      <c r="B449" s="1031"/>
      <c r="C449" s="1032"/>
      <c r="D449" s="1032"/>
      <c r="E449" s="1032"/>
      <c r="F449" s="1032"/>
      <c r="G449" s="1032"/>
      <c r="H449" s="1033" t="s">
        <v>349</v>
      </c>
      <c r="I449" s="1033"/>
      <c r="J449" s="1033"/>
      <c r="K449" s="1033"/>
      <c r="L449" s="1033"/>
      <c r="M449" s="1035">
        <v>20.7</v>
      </c>
      <c r="N449" s="1035"/>
      <c r="O449" s="1035"/>
      <c r="P449" s="1036" t="s">
        <v>350</v>
      </c>
      <c r="Q449" s="1036"/>
      <c r="R449" s="1036"/>
      <c r="S449" s="1012">
        <f>TRUNC(S448*M449%,2)</f>
        <v>57.88</v>
      </c>
      <c r="T449" s="1012"/>
      <c r="U449" s="1012"/>
      <c r="V449" s="1013"/>
    </row>
    <row r="450" spans="2:22" ht="17.45" customHeight="1">
      <c r="B450" s="1014"/>
      <c r="C450" s="1015"/>
      <c r="D450" s="1015"/>
      <c r="E450" s="1015"/>
      <c r="F450" s="1015"/>
      <c r="G450" s="1015"/>
      <c r="H450" s="1015"/>
      <c r="I450" s="1016" t="s">
        <v>351</v>
      </c>
      <c r="J450" s="1016"/>
      <c r="K450" s="1016"/>
      <c r="L450" s="1016"/>
      <c r="M450" s="1016"/>
      <c r="N450" s="1016"/>
      <c r="O450" s="1016"/>
      <c r="P450" s="1016"/>
      <c r="Q450" s="1016"/>
      <c r="R450" s="1016"/>
      <c r="S450" s="1017">
        <f>S448+S449</f>
        <v>337.50283999999999</v>
      </c>
      <c r="T450" s="1017"/>
      <c r="U450" s="1017"/>
      <c r="V450" s="1018"/>
    </row>
    <row r="451" spans="2:22" ht="144.94999999999999" customHeight="1">
      <c r="B451" s="214"/>
      <c r="V451" s="217"/>
    </row>
    <row r="452" spans="2:22" ht="144.94999999999999" customHeight="1">
      <c r="B452" s="214"/>
      <c r="V452" s="217"/>
    </row>
    <row r="453" spans="2:22" ht="144.94999999999999" customHeight="1">
      <c r="B453" s="214"/>
      <c r="V453" s="217"/>
    </row>
    <row r="454" spans="2:22" ht="49.5" customHeight="1">
      <c r="B454" s="214"/>
      <c r="C454" s="525"/>
      <c r="D454" s="526"/>
      <c r="E454" s="526"/>
      <c r="F454" s="526"/>
      <c r="G454" s="526"/>
      <c r="H454" s="526"/>
      <c r="I454" s="526"/>
      <c r="J454" s="526"/>
      <c r="K454" s="525"/>
      <c r="L454" s="525"/>
      <c r="M454" s="525"/>
      <c r="N454" s="525"/>
      <c r="O454" s="543"/>
      <c r="P454" s="543"/>
      <c r="Q454" s="543"/>
      <c r="R454" s="543"/>
      <c r="S454" s="525"/>
      <c r="T454" s="525"/>
      <c r="U454" s="525"/>
      <c r="V454" s="217"/>
    </row>
    <row r="455" spans="2:22" ht="17.45" customHeight="1">
      <c r="B455" s="514"/>
      <c r="C455" s="1063" t="s">
        <v>320</v>
      </c>
      <c r="D455" s="1063"/>
      <c r="E455" s="1063"/>
      <c r="F455" s="515"/>
      <c r="G455" s="1042" t="str">
        <f>G437</f>
        <v>Data Base: Dez./2022 (SINAPI) e Jul./2022 (SICRO) sem desoneração</v>
      </c>
      <c r="H455" s="1042"/>
      <c r="I455" s="1042"/>
      <c r="J455" s="1042"/>
      <c r="K455" s="1042"/>
      <c r="L455" s="1042"/>
      <c r="M455" s="516"/>
      <c r="N455" s="1043" t="s">
        <v>644</v>
      </c>
      <c r="O455" s="1043"/>
      <c r="P455" s="1043"/>
      <c r="Q455" s="1043"/>
      <c r="R455" s="1043"/>
      <c r="S455" s="1043"/>
      <c r="T455" s="1043"/>
      <c r="U455" s="1043"/>
      <c r="V455" s="517"/>
    </row>
    <row r="456" spans="2:22" ht="17.45" customHeight="1">
      <c r="B456" s="518"/>
      <c r="C456" s="1064" t="s">
        <v>321</v>
      </c>
      <c r="D456" s="1064"/>
      <c r="E456" s="1065" t="s">
        <v>502</v>
      </c>
      <c r="F456" s="1065"/>
      <c r="G456" s="1065"/>
      <c r="H456" s="1065"/>
      <c r="I456" s="1065"/>
      <c r="J456" s="1065"/>
      <c r="K456" s="1066" t="s">
        <v>322</v>
      </c>
      <c r="L456" s="1066"/>
      <c r="M456" s="211"/>
      <c r="N456" s="1067" t="s">
        <v>504</v>
      </c>
      <c r="O456" s="1067"/>
      <c r="P456" s="1067"/>
      <c r="Q456" s="541"/>
      <c r="R456" s="541"/>
      <c r="S456" s="211"/>
      <c r="T456" s="211"/>
      <c r="U456" s="211"/>
      <c r="V456" s="519"/>
    </row>
    <row r="457" spans="2:22" ht="17.45" customHeight="1">
      <c r="B457" s="520"/>
      <c r="C457" s="1064"/>
      <c r="D457" s="1064"/>
      <c r="E457" s="1065"/>
      <c r="F457" s="1065"/>
      <c r="G457" s="1065"/>
      <c r="H457" s="1065"/>
      <c r="I457" s="1065"/>
      <c r="J457" s="1065"/>
      <c r="K457" s="1068" t="s">
        <v>324</v>
      </c>
      <c r="L457" s="1068"/>
      <c r="M457" s="212"/>
      <c r="N457" s="1069">
        <v>1</v>
      </c>
      <c r="O457" s="1069"/>
      <c r="P457" s="1069"/>
      <c r="Q457" s="542"/>
      <c r="R457" s="1068" t="s">
        <v>325</v>
      </c>
      <c r="S457" s="1068"/>
      <c r="T457" s="212"/>
      <c r="U457" s="213" t="s">
        <v>332</v>
      </c>
      <c r="V457" s="521"/>
    </row>
    <row r="458" spans="2:22" ht="17.45" customHeight="1">
      <c r="B458" s="1050" t="s">
        <v>327</v>
      </c>
      <c r="C458" s="1051"/>
      <c r="D458" s="1052" t="s">
        <v>234</v>
      </c>
      <c r="E458" s="1052"/>
      <c r="F458" s="1052"/>
      <c r="G458" s="1052"/>
      <c r="H458" s="1052"/>
      <c r="I458" s="1052"/>
      <c r="J458" s="1051" t="s">
        <v>241</v>
      </c>
      <c r="K458" s="1051"/>
      <c r="L458" s="1051" t="s">
        <v>245</v>
      </c>
      <c r="M458" s="1051"/>
      <c r="N458" s="1051"/>
      <c r="O458" s="1053" t="s">
        <v>328</v>
      </c>
      <c r="P458" s="1053"/>
      <c r="Q458" s="1053"/>
      <c r="R458" s="1053"/>
      <c r="S458" s="1052" t="s">
        <v>329</v>
      </c>
      <c r="T458" s="1052"/>
      <c r="U458" s="1052"/>
      <c r="V458" s="1054"/>
    </row>
    <row r="459" spans="2:22" ht="17.45" customHeight="1">
      <c r="B459" s="522"/>
      <c r="C459" s="264" t="s">
        <v>457</v>
      </c>
      <c r="D459" s="1055" t="s">
        <v>458</v>
      </c>
      <c r="E459" s="1055"/>
      <c r="F459" s="1055"/>
      <c r="G459" s="1055"/>
      <c r="H459" s="1055"/>
      <c r="I459" s="1055"/>
      <c r="J459" s="1060" t="s">
        <v>397</v>
      </c>
      <c r="K459" s="1060"/>
      <c r="L459" s="1056">
        <v>3.0000000000000001E-3</v>
      </c>
      <c r="M459" s="1056"/>
      <c r="N459" s="1056"/>
      <c r="O459" s="1010">
        <v>187.95</v>
      </c>
      <c r="P459" s="1010"/>
      <c r="Q459" s="1010"/>
      <c r="R459" s="1010"/>
      <c r="S459" s="1061">
        <f>L459*O459</f>
        <v>0.56384999999999996</v>
      </c>
      <c r="T459" s="1061"/>
      <c r="U459" s="1061"/>
      <c r="V459" s="1062"/>
    </row>
    <row r="460" spans="2:22" ht="17.45" customHeight="1">
      <c r="B460" s="523"/>
      <c r="C460" s="263">
        <v>5940</v>
      </c>
      <c r="D460" s="1037" t="s">
        <v>503</v>
      </c>
      <c r="E460" s="1037"/>
      <c r="F460" s="1037"/>
      <c r="G460" s="1037"/>
      <c r="H460" s="1037"/>
      <c r="I460" s="1037"/>
      <c r="J460" s="1038" t="s">
        <v>397</v>
      </c>
      <c r="K460" s="1038"/>
      <c r="L460" s="1039">
        <v>8.0000000000000002E-3</v>
      </c>
      <c r="M460" s="1039"/>
      <c r="N460" s="1039"/>
      <c r="O460" s="1040">
        <v>181.21</v>
      </c>
      <c r="P460" s="1040"/>
      <c r="Q460" s="1040"/>
      <c r="R460" s="1040"/>
      <c r="S460" s="1011">
        <f t="shared" ref="S460:S461" si="17">L460*O460</f>
        <v>1.4496800000000001</v>
      </c>
      <c r="T460" s="1012"/>
      <c r="U460" s="1012"/>
      <c r="V460" s="1013"/>
    </row>
    <row r="461" spans="2:22" ht="17.45" customHeight="1">
      <c r="B461" s="524"/>
      <c r="C461" s="262" t="s">
        <v>336</v>
      </c>
      <c r="D461" s="1019" t="s">
        <v>337</v>
      </c>
      <c r="E461" s="1019"/>
      <c r="F461" s="1019"/>
      <c r="G461" s="1019"/>
      <c r="H461" s="1019"/>
      <c r="I461" s="1019"/>
      <c r="J461" s="1020" t="s">
        <v>335</v>
      </c>
      <c r="K461" s="1020"/>
      <c r="L461" s="1021">
        <v>8.0000000000000002E-3</v>
      </c>
      <c r="M461" s="1021"/>
      <c r="N461" s="1021"/>
      <c r="O461" s="1022">
        <v>19.28</v>
      </c>
      <c r="P461" s="1022"/>
      <c r="Q461" s="1022"/>
      <c r="R461" s="1022"/>
      <c r="S461" s="1057">
        <f t="shared" si="17"/>
        <v>0.15424000000000002</v>
      </c>
      <c r="T461" s="1058"/>
      <c r="U461" s="1058"/>
      <c r="V461" s="1059"/>
    </row>
    <row r="462" spans="2:22" ht="17.45" customHeight="1">
      <c r="B462" s="1023"/>
      <c r="C462" s="1024"/>
      <c r="D462" s="1024"/>
      <c r="E462" s="1024"/>
      <c r="F462" s="1024"/>
      <c r="G462" s="1024"/>
      <c r="H462" s="1024"/>
      <c r="I462" s="1025" t="s">
        <v>347</v>
      </c>
      <c r="J462" s="1025"/>
      <c r="K462" s="1025"/>
      <c r="L462" s="1025"/>
      <c r="M462" s="1025"/>
      <c r="N462" s="1025"/>
      <c r="O462" s="1025"/>
      <c r="P462" s="1025"/>
      <c r="Q462" s="1025"/>
      <c r="R462" s="1025"/>
      <c r="S462" s="1026">
        <f>SUM(S459:V461)</f>
        <v>2.1677700000000004</v>
      </c>
      <c r="T462" s="1026"/>
      <c r="U462" s="1026"/>
      <c r="V462" s="1027"/>
    </row>
    <row r="463" spans="2:22" ht="17.45" customHeight="1">
      <c r="B463" s="1028"/>
      <c r="C463" s="1029"/>
      <c r="D463" s="1029"/>
      <c r="E463" s="1029"/>
      <c r="F463" s="1029"/>
      <c r="G463" s="1029"/>
      <c r="H463" s="1029"/>
      <c r="I463" s="1029"/>
      <c r="J463" s="1029"/>
      <c r="K463" s="1029"/>
      <c r="L463" s="1029"/>
      <c r="M463" s="1029"/>
      <c r="N463" s="1029"/>
      <c r="O463" s="1029"/>
      <c r="P463" s="1029"/>
      <c r="Q463" s="1029"/>
      <c r="R463" s="1029"/>
      <c r="S463" s="1029"/>
      <c r="T463" s="1029"/>
      <c r="U463" s="1029"/>
      <c r="V463" s="1030"/>
    </row>
    <row r="464" spans="2:22" ht="17.45" customHeight="1">
      <c r="B464" s="1031"/>
      <c r="C464" s="1032"/>
      <c r="D464" s="1032"/>
      <c r="E464" s="1032"/>
      <c r="F464" s="1032"/>
      <c r="G464" s="1032"/>
      <c r="H464" s="1032"/>
      <c r="I464" s="1033" t="s">
        <v>348</v>
      </c>
      <c r="J464" s="1033"/>
      <c r="K464" s="1033"/>
      <c r="L464" s="1033"/>
      <c r="M464" s="1033"/>
      <c r="N464" s="1033"/>
      <c r="O464" s="1033"/>
      <c r="P464" s="1033"/>
      <c r="Q464" s="1033"/>
      <c r="R464" s="1033"/>
      <c r="S464" s="1012">
        <f>S462</f>
        <v>2.1677700000000004</v>
      </c>
      <c r="T464" s="1012"/>
      <c r="U464" s="1012"/>
      <c r="V464" s="1013"/>
    </row>
    <row r="465" spans="2:22" ht="17.45" customHeight="1">
      <c r="B465" s="1031"/>
      <c r="C465" s="1032"/>
      <c r="D465" s="1032"/>
      <c r="E465" s="1032"/>
      <c r="F465" s="1032"/>
      <c r="G465" s="1032"/>
      <c r="H465" s="1033" t="s">
        <v>349</v>
      </c>
      <c r="I465" s="1033"/>
      <c r="J465" s="1033"/>
      <c r="K465" s="1033"/>
      <c r="L465" s="1033"/>
      <c r="M465" s="1035">
        <v>20.7</v>
      </c>
      <c r="N465" s="1035"/>
      <c r="O465" s="1035"/>
      <c r="P465" s="1036" t="s">
        <v>350</v>
      </c>
      <c r="Q465" s="1036"/>
      <c r="R465" s="1036"/>
      <c r="S465" s="1012">
        <f>TRUNC(S464*M465%,2)</f>
        <v>0.44</v>
      </c>
      <c r="T465" s="1012"/>
      <c r="U465" s="1012"/>
      <c r="V465" s="1013"/>
    </row>
    <row r="466" spans="2:22" ht="17.45" customHeight="1">
      <c r="B466" s="1014"/>
      <c r="C466" s="1015"/>
      <c r="D466" s="1015"/>
      <c r="E466" s="1015"/>
      <c r="F466" s="1015"/>
      <c r="G466" s="1015"/>
      <c r="H466" s="1015"/>
      <c r="I466" s="1016" t="s">
        <v>351</v>
      </c>
      <c r="J466" s="1016"/>
      <c r="K466" s="1016"/>
      <c r="L466" s="1016"/>
      <c r="M466" s="1016"/>
      <c r="N466" s="1016"/>
      <c r="O466" s="1016"/>
      <c r="P466" s="1016"/>
      <c r="Q466" s="1016"/>
      <c r="R466" s="1016"/>
      <c r="S466" s="1017">
        <f>S464+S465</f>
        <v>2.6077700000000004</v>
      </c>
      <c r="T466" s="1017"/>
      <c r="U466" s="1017"/>
      <c r="V466" s="1018"/>
    </row>
    <row r="467" spans="2:22" ht="144.94999999999999" customHeight="1">
      <c r="B467" s="214"/>
      <c r="V467" s="217"/>
    </row>
    <row r="468" spans="2:22" ht="144.94999999999999" customHeight="1">
      <c r="B468" s="214"/>
      <c r="V468" s="217"/>
    </row>
    <row r="469" spans="2:22" ht="144.94999999999999" customHeight="1">
      <c r="B469" s="214"/>
      <c r="V469" s="217"/>
    </row>
    <row r="470" spans="2:22" ht="93.75" customHeight="1">
      <c r="B470" s="214"/>
      <c r="C470" s="525"/>
      <c r="D470" s="526"/>
      <c r="E470" s="526"/>
      <c r="F470" s="526"/>
      <c r="G470" s="526"/>
      <c r="H470" s="526"/>
      <c r="I470" s="526"/>
      <c r="J470" s="526"/>
      <c r="K470" s="525"/>
      <c r="L470" s="525"/>
      <c r="M470" s="525"/>
      <c r="N470" s="525"/>
      <c r="O470" s="543"/>
      <c r="P470" s="543"/>
      <c r="Q470" s="543"/>
      <c r="R470" s="543"/>
      <c r="S470" s="525"/>
      <c r="T470" s="525"/>
      <c r="U470" s="525"/>
      <c r="V470" s="217"/>
    </row>
    <row r="471" spans="2:22" ht="17.45" customHeight="1">
      <c r="B471" s="514"/>
      <c r="C471" s="1063" t="s">
        <v>320</v>
      </c>
      <c r="D471" s="1063"/>
      <c r="E471" s="1063"/>
      <c r="F471" s="515"/>
      <c r="G471" s="1042" t="str">
        <f>G455</f>
        <v>Data Base: Dez./2022 (SINAPI) e Jul./2022 (SICRO) sem desoneração</v>
      </c>
      <c r="H471" s="1042"/>
      <c r="I471" s="1042"/>
      <c r="J471" s="1042"/>
      <c r="K471" s="1042"/>
      <c r="L471" s="1042"/>
      <c r="M471" s="516"/>
      <c r="N471" s="1043" t="s">
        <v>644</v>
      </c>
      <c r="O471" s="1043"/>
      <c r="P471" s="1043"/>
      <c r="Q471" s="1043"/>
      <c r="R471" s="1043"/>
      <c r="S471" s="1043"/>
      <c r="T471" s="1043"/>
      <c r="U471" s="1043"/>
      <c r="V471" s="517"/>
    </row>
    <row r="472" spans="2:22" ht="17.45" customHeight="1">
      <c r="B472" s="518"/>
      <c r="C472" s="1064" t="s">
        <v>321</v>
      </c>
      <c r="D472" s="1064"/>
      <c r="E472" s="1065" t="s">
        <v>405</v>
      </c>
      <c r="F472" s="1065"/>
      <c r="G472" s="1065"/>
      <c r="H472" s="1065"/>
      <c r="I472" s="1065"/>
      <c r="J472" s="1065"/>
      <c r="K472" s="1066" t="s">
        <v>322</v>
      </c>
      <c r="L472" s="1066"/>
      <c r="M472" s="211"/>
      <c r="N472" s="1067" t="s">
        <v>506</v>
      </c>
      <c r="O472" s="1067"/>
      <c r="P472" s="1067"/>
      <c r="Q472" s="541"/>
      <c r="R472" s="541"/>
      <c r="S472" s="211"/>
      <c r="T472" s="211"/>
      <c r="U472" s="211"/>
      <c r="V472" s="519"/>
    </row>
    <row r="473" spans="2:22" ht="17.45" customHeight="1">
      <c r="B473" s="520"/>
      <c r="C473" s="1064"/>
      <c r="D473" s="1064"/>
      <c r="E473" s="1065"/>
      <c r="F473" s="1065"/>
      <c r="G473" s="1065"/>
      <c r="H473" s="1065"/>
      <c r="I473" s="1065"/>
      <c r="J473" s="1065"/>
      <c r="K473" s="1068" t="s">
        <v>324</v>
      </c>
      <c r="L473" s="1068"/>
      <c r="M473" s="212"/>
      <c r="N473" s="1069">
        <v>1</v>
      </c>
      <c r="O473" s="1069"/>
      <c r="P473" s="1069"/>
      <c r="Q473" s="542"/>
      <c r="R473" s="1068" t="s">
        <v>325</v>
      </c>
      <c r="S473" s="1068"/>
      <c r="T473" s="212"/>
      <c r="U473" s="213" t="s">
        <v>332</v>
      </c>
      <c r="V473" s="521"/>
    </row>
    <row r="474" spans="2:22" ht="17.45" customHeight="1">
      <c r="B474" s="1050" t="s">
        <v>327</v>
      </c>
      <c r="C474" s="1051"/>
      <c r="D474" s="1052" t="s">
        <v>234</v>
      </c>
      <c r="E474" s="1052"/>
      <c r="F474" s="1052"/>
      <c r="G474" s="1052"/>
      <c r="H474" s="1052"/>
      <c r="I474" s="1052"/>
      <c r="J474" s="1051" t="s">
        <v>241</v>
      </c>
      <c r="K474" s="1051"/>
      <c r="L474" s="1051" t="s">
        <v>245</v>
      </c>
      <c r="M474" s="1051"/>
      <c r="N474" s="1051"/>
      <c r="O474" s="1053" t="s">
        <v>328</v>
      </c>
      <c r="P474" s="1053"/>
      <c r="Q474" s="1053"/>
      <c r="R474" s="1053"/>
      <c r="S474" s="1052" t="s">
        <v>329</v>
      </c>
      <c r="T474" s="1052"/>
      <c r="U474" s="1052"/>
      <c r="V474" s="1054"/>
    </row>
    <row r="475" spans="2:22" ht="17.45" customHeight="1">
      <c r="B475" s="522"/>
      <c r="C475" s="264" t="s">
        <v>400</v>
      </c>
      <c r="D475" s="1055" t="s">
        <v>401</v>
      </c>
      <c r="E475" s="1055"/>
      <c r="F475" s="1055"/>
      <c r="G475" s="1055"/>
      <c r="H475" s="1055"/>
      <c r="I475" s="1055"/>
      <c r="J475" s="1060" t="s">
        <v>397</v>
      </c>
      <c r="K475" s="1060"/>
      <c r="L475" s="1056">
        <v>2.9867000000000001E-3</v>
      </c>
      <c r="M475" s="1056"/>
      <c r="N475" s="1056"/>
      <c r="O475" s="1010">
        <v>261.57</v>
      </c>
      <c r="P475" s="1010"/>
      <c r="Q475" s="1010"/>
      <c r="R475" s="1010"/>
      <c r="S475" s="1061">
        <f>L475*O475</f>
        <v>0.78123111899999997</v>
      </c>
      <c r="T475" s="1061"/>
      <c r="U475" s="1061"/>
      <c r="V475" s="1062"/>
    </row>
    <row r="476" spans="2:22" ht="17.45" customHeight="1">
      <c r="B476" s="524"/>
      <c r="C476" s="262" t="s">
        <v>336</v>
      </c>
      <c r="D476" s="1019" t="s">
        <v>337</v>
      </c>
      <c r="E476" s="1019"/>
      <c r="F476" s="1019"/>
      <c r="G476" s="1019"/>
      <c r="H476" s="1019"/>
      <c r="I476" s="1019"/>
      <c r="J476" s="1020" t="s">
        <v>335</v>
      </c>
      <c r="K476" s="1020"/>
      <c r="L476" s="1021">
        <v>2.5499999999999998E-2</v>
      </c>
      <c r="M476" s="1021"/>
      <c r="N476" s="1021"/>
      <c r="O476" s="1022">
        <v>19.28</v>
      </c>
      <c r="P476" s="1022"/>
      <c r="Q476" s="1022"/>
      <c r="R476" s="1022"/>
      <c r="S476" s="1070">
        <f>L476*O476</f>
        <v>0.49164000000000002</v>
      </c>
      <c r="T476" s="1070"/>
      <c r="U476" s="1070"/>
      <c r="V476" s="1071"/>
    </row>
    <row r="477" spans="2:22" ht="17.45" customHeight="1">
      <c r="B477" s="1023"/>
      <c r="C477" s="1024"/>
      <c r="D477" s="1024"/>
      <c r="E477" s="1024"/>
      <c r="F477" s="1024"/>
      <c r="G477" s="1024"/>
      <c r="H477" s="1024"/>
      <c r="I477" s="1025" t="s">
        <v>347</v>
      </c>
      <c r="J477" s="1025"/>
      <c r="K477" s="1025"/>
      <c r="L477" s="1025"/>
      <c r="M477" s="1025"/>
      <c r="N477" s="1025"/>
      <c r="O477" s="1025"/>
      <c r="P477" s="1025"/>
      <c r="Q477" s="1025"/>
      <c r="R477" s="1025"/>
      <c r="S477" s="1026">
        <f>SUM(S475:V476)</f>
        <v>1.2728711189999999</v>
      </c>
      <c r="T477" s="1026"/>
      <c r="U477" s="1026"/>
      <c r="V477" s="1027"/>
    </row>
    <row r="478" spans="2:22" ht="17.45" customHeight="1">
      <c r="B478" s="1028"/>
      <c r="C478" s="1029"/>
      <c r="D478" s="1029"/>
      <c r="E478" s="1029"/>
      <c r="F478" s="1029"/>
      <c r="G478" s="1029"/>
      <c r="H478" s="1029"/>
      <c r="I478" s="1029"/>
      <c r="J478" s="1029"/>
      <c r="K478" s="1029"/>
      <c r="L478" s="1029"/>
      <c r="M478" s="1029"/>
      <c r="N478" s="1029"/>
      <c r="O478" s="1029"/>
      <c r="P478" s="1029"/>
      <c r="Q478" s="1029"/>
      <c r="R478" s="1029"/>
      <c r="S478" s="1029"/>
      <c r="T478" s="1029"/>
      <c r="U478" s="1029"/>
      <c r="V478" s="1030"/>
    </row>
    <row r="479" spans="2:22" ht="17.45" customHeight="1">
      <c r="B479" s="1031"/>
      <c r="C479" s="1032"/>
      <c r="D479" s="1032"/>
      <c r="E479" s="1032"/>
      <c r="F479" s="1032"/>
      <c r="G479" s="1032"/>
      <c r="H479" s="1032"/>
      <c r="I479" s="1033" t="s">
        <v>348</v>
      </c>
      <c r="J479" s="1033"/>
      <c r="K479" s="1033"/>
      <c r="L479" s="1033"/>
      <c r="M479" s="1033"/>
      <c r="N479" s="1033"/>
      <c r="O479" s="1033"/>
      <c r="P479" s="1033"/>
      <c r="Q479" s="1033"/>
      <c r="R479" s="1033"/>
      <c r="S479" s="1012">
        <f>S477</f>
        <v>1.2728711189999999</v>
      </c>
      <c r="T479" s="1012"/>
      <c r="U479" s="1012"/>
      <c r="V479" s="1013"/>
    </row>
    <row r="480" spans="2:22" ht="17.45" customHeight="1">
      <c r="B480" s="1031"/>
      <c r="C480" s="1032"/>
      <c r="D480" s="1032"/>
      <c r="E480" s="1032"/>
      <c r="F480" s="1032"/>
      <c r="G480" s="1032"/>
      <c r="H480" s="1033" t="s">
        <v>349</v>
      </c>
      <c r="I480" s="1033"/>
      <c r="J480" s="1033"/>
      <c r="K480" s="1033"/>
      <c r="L480" s="1033"/>
      <c r="M480" s="1035">
        <v>20.7</v>
      </c>
      <c r="N480" s="1035"/>
      <c r="O480" s="1035"/>
      <c r="P480" s="1036" t="s">
        <v>350</v>
      </c>
      <c r="Q480" s="1036"/>
      <c r="R480" s="1036"/>
      <c r="S480" s="1012">
        <f>TRUNC(S479*M480%,2)</f>
        <v>0.26</v>
      </c>
      <c r="T480" s="1012"/>
      <c r="U480" s="1012"/>
      <c r="V480" s="1013"/>
    </row>
    <row r="481" spans="2:22" ht="17.45" customHeight="1">
      <c r="B481" s="1014"/>
      <c r="C481" s="1015"/>
      <c r="D481" s="1015"/>
      <c r="E481" s="1015"/>
      <c r="F481" s="1015"/>
      <c r="G481" s="1015"/>
      <c r="H481" s="1015"/>
      <c r="I481" s="1016" t="s">
        <v>351</v>
      </c>
      <c r="J481" s="1016"/>
      <c r="K481" s="1016"/>
      <c r="L481" s="1016"/>
      <c r="M481" s="1016"/>
      <c r="N481" s="1016"/>
      <c r="O481" s="1016"/>
      <c r="P481" s="1016"/>
      <c r="Q481" s="1016"/>
      <c r="R481" s="1016"/>
      <c r="S481" s="1017">
        <f>S479+S480</f>
        <v>1.5328711189999999</v>
      </c>
      <c r="T481" s="1017"/>
      <c r="U481" s="1017"/>
      <c r="V481" s="1018"/>
    </row>
    <row r="482" spans="2:22" ht="144.94999999999999" customHeight="1">
      <c r="B482" s="214"/>
      <c r="V482" s="217"/>
    </row>
    <row r="483" spans="2:22" ht="144.94999999999999" customHeight="1">
      <c r="B483" s="214"/>
      <c r="V483" s="217"/>
    </row>
    <row r="484" spans="2:22" ht="144.94999999999999" customHeight="1">
      <c r="B484" s="214"/>
      <c r="V484" s="217"/>
    </row>
    <row r="485" spans="2:22" ht="17.45" customHeight="1">
      <c r="B485" s="214"/>
      <c r="V485" s="217"/>
    </row>
    <row r="486" spans="2:22" ht="90.75" customHeight="1">
      <c r="B486" s="214"/>
      <c r="C486" s="525"/>
      <c r="D486" s="526"/>
      <c r="E486" s="526"/>
      <c r="F486" s="526"/>
      <c r="G486" s="526"/>
      <c r="H486" s="526"/>
      <c r="I486" s="526"/>
      <c r="J486" s="526"/>
      <c r="K486" s="525"/>
      <c r="L486" s="525"/>
      <c r="M486" s="525"/>
      <c r="N486" s="525"/>
      <c r="O486" s="543"/>
      <c r="P486" s="543"/>
      <c r="Q486" s="543"/>
      <c r="R486" s="543"/>
      <c r="S486" s="525"/>
      <c r="T486" s="525"/>
      <c r="U486" s="525"/>
      <c r="V486" s="217"/>
    </row>
    <row r="487" spans="2:22" ht="17.45" customHeight="1">
      <c r="B487" s="514"/>
      <c r="C487" s="1063" t="s">
        <v>320</v>
      </c>
      <c r="D487" s="1063"/>
      <c r="E487" s="1063"/>
      <c r="F487" s="515"/>
      <c r="G487" s="1042" t="str">
        <f>G471</f>
        <v>Data Base: Dez./2022 (SINAPI) e Jul./2022 (SICRO) sem desoneração</v>
      </c>
      <c r="H487" s="1042"/>
      <c r="I487" s="1042"/>
      <c r="J487" s="1042"/>
      <c r="K487" s="1042"/>
      <c r="L487" s="1042"/>
      <c r="M487" s="516"/>
      <c r="N487" s="1043" t="s">
        <v>644</v>
      </c>
      <c r="O487" s="1043"/>
      <c r="P487" s="1043"/>
      <c r="Q487" s="1043"/>
      <c r="R487" s="1043"/>
      <c r="S487" s="1043"/>
      <c r="T487" s="1043"/>
      <c r="U487" s="1043"/>
      <c r="V487" s="517"/>
    </row>
    <row r="488" spans="2:22" ht="17.45" customHeight="1">
      <c r="B488" s="518"/>
      <c r="C488" s="1064" t="s">
        <v>321</v>
      </c>
      <c r="D488" s="1064"/>
      <c r="E488" s="1065" t="s">
        <v>505</v>
      </c>
      <c r="F488" s="1065"/>
      <c r="G488" s="1065"/>
      <c r="H488" s="1065"/>
      <c r="I488" s="1065"/>
      <c r="J488" s="1065"/>
      <c r="K488" s="1066" t="s">
        <v>322</v>
      </c>
      <c r="L488" s="1066"/>
      <c r="M488" s="211"/>
      <c r="N488" s="1067" t="s">
        <v>512</v>
      </c>
      <c r="O488" s="1067"/>
      <c r="P488" s="1067"/>
      <c r="Q488" s="541"/>
      <c r="R488" s="541"/>
      <c r="S488" s="211"/>
      <c r="T488" s="211"/>
      <c r="U488" s="211"/>
      <c r="V488" s="519"/>
    </row>
    <row r="489" spans="2:22" ht="17.45" customHeight="1">
      <c r="B489" s="520"/>
      <c r="C489" s="1064"/>
      <c r="D489" s="1064"/>
      <c r="E489" s="1065"/>
      <c r="F489" s="1065"/>
      <c r="G489" s="1065"/>
      <c r="H489" s="1065"/>
      <c r="I489" s="1065"/>
      <c r="J489" s="1065"/>
      <c r="K489" s="1068" t="s">
        <v>324</v>
      </c>
      <c r="L489" s="1068"/>
      <c r="M489" s="212"/>
      <c r="N489" s="1069">
        <v>1</v>
      </c>
      <c r="O489" s="1069"/>
      <c r="P489" s="1069"/>
      <c r="Q489" s="542"/>
      <c r="R489" s="1068" t="s">
        <v>325</v>
      </c>
      <c r="S489" s="1068"/>
      <c r="T489" s="212"/>
      <c r="U489" s="213" t="s">
        <v>326</v>
      </c>
      <c r="V489" s="521"/>
    </row>
    <row r="490" spans="2:22" ht="17.45" customHeight="1">
      <c r="B490" s="1050" t="s">
        <v>327</v>
      </c>
      <c r="C490" s="1051"/>
      <c r="D490" s="1052" t="s">
        <v>234</v>
      </c>
      <c r="E490" s="1052"/>
      <c r="F490" s="1052"/>
      <c r="G490" s="1052"/>
      <c r="H490" s="1052"/>
      <c r="I490" s="1052"/>
      <c r="J490" s="1051" t="s">
        <v>241</v>
      </c>
      <c r="K490" s="1051"/>
      <c r="L490" s="1051" t="s">
        <v>245</v>
      </c>
      <c r="M490" s="1051"/>
      <c r="N490" s="1051"/>
      <c r="O490" s="1053" t="s">
        <v>328</v>
      </c>
      <c r="P490" s="1053"/>
      <c r="Q490" s="1053"/>
      <c r="R490" s="1053"/>
      <c r="S490" s="1052" t="s">
        <v>329</v>
      </c>
      <c r="T490" s="1052"/>
      <c r="U490" s="1052"/>
      <c r="V490" s="1054"/>
    </row>
    <row r="491" spans="2:22" ht="17.45" customHeight="1">
      <c r="B491" s="522"/>
      <c r="C491" s="264" t="s">
        <v>333</v>
      </c>
      <c r="D491" s="1055" t="s">
        <v>334</v>
      </c>
      <c r="E491" s="1055"/>
      <c r="F491" s="1055"/>
      <c r="G491" s="1055"/>
      <c r="H491" s="1055"/>
      <c r="I491" s="1055"/>
      <c r="J491" s="1060" t="s">
        <v>335</v>
      </c>
      <c r="K491" s="1060"/>
      <c r="L491" s="1056">
        <v>0.71</v>
      </c>
      <c r="M491" s="1056"/>
      <c r="N491" s="1056"/>
      <c r="O491" s="1010">
        <v>23.95</v>
      </c>
      <c r="P491" s="1010"/>
      <c r="Q491" s="1010"/>
      <c r="R491" s="1010"/>
      <c r="S491" s="1061">
        <f>L491*O491</f>
        <v>17.0045</v>
      </c>
      <c r="T491" s="1061"/>
      <c r="U491" s="1061"/>
      <c r="V491" s="1062"/>
    </row>
    <row r="492" spans="2:22" ht="17.45" customHeight="1">
      <c r="B492" s="523"/>
      <c r="C492" s="263" t="s">
        <v>336</v>
      </c>
      <c r="D492" s="1037" t="s">
        <v>337</v>
      </c>
      <c r="E492" s="1037"/>
      <c r="F492" s="1037"/>
      <c r="G492" s="1037"/>
      <c r="H492" s="1037"/>
      <c r="I492" s="1037"/>
      <c r="J492" s="1038" t="s">
        <v>335</v>
      </c>
      <c r="K492" s="1038"/>
      <c r="L492" s="1039">
        <v>0.30399999999999999</v>
      </c>
      <c r="M492" s="1039"/>
      <c r="N492" s="1039"/>
      <c r="O492" s="1040">
        <v>19.28</v>
      </c>
      <c r="P492" s="1040"/>
      <c r="Q492" s="1040"/>
      <c r="R492" s="1040"/>
      <c r="S492" s="1011">
        <f t="shared" ref="S492:S495" si="18">L492*O492</f>
        <v>5.8611200000000006</v>
      </c>
      <c r="T492" s="1012"/>
      <c r="U492" s="1012"/>
      <c r="V492" s="1013"/>
    </row>
    <row r="493" spans="2:22" ht="17.45" customHeight="1">
      <c r="B493" s="523"/>
      <c r="C493" s="263" t="s">
        <v>507</v>
      </c>
      <c r="D493" s="1037" t="s">
        <v>508</v>
      </c>
      <c r="E493" s="1037"/>
      <c r="F493" s="1037"/>
      <c r="G493" s="1037"/>
      <c r="H493" s="1037"/>
      <c r="I493" s="1037"/>
      <c r="J493" s="1038" t="s">
        <v>340</v>
      </c>
      <c r="K493" s="1038"/>
      <c r="L493" s="1039">
        <v>0.109</v>
      </c>
      <c r="M493" s="1039"/>
      <c r="N493" s="1039"/>
      <c r="O493" s="1040">
        <v>10.96</v>
      </c>
      <c r="P493" s="1040"/>
      <c r="Q493" s="1040"/>
      <c r="R493" s="1040"/>
      <c r="S493" s="1011">
        <f t="shared" si="18"/>
        <v>1.1946400000000001</v>
      </c>
      <c r="T493" s="1012"/>
      <c r="U493" s="1012"/>
      <c r="V493" s="1013"/>
    </row>
    <row r="494" spans="2:22" ht="17.45" customHeight="1">
      <c r="B494" s="523"/>
      <c r="C494" s="263" t="s">
        <v>484</v>
      </c>
      <c r="D494" s="1037" t="s">
        <v>485</v>
      </c>
      <c r="E494" s="1037"/>
      <c r="F494" s="1037"/>
      <c r="G494" s="1037"/>
      <c r="H494" s="1037"/>
      <c r="I494" s="1037"/>
      <c r="J494" s="1038" t="s">
        <v>346</v>
      </c>
      <c r="K494" s="1038"/>
      <c r="L494" s="1039">
        <v>0.01</v>
      </c>
      <c r="M494" s="1039"/>
      <c r="N494" s="1039"/>
      <c r="O494" s="1040">
        <v>25.9</v>
      </c>
      <c r="P494" s="1040"/>
      <c r="Q494" s="1040"/>
      <c r="R494" s="1040"/>
      <c r="S494" s="1011">
        <f t="shared" si="18"/>
        <v>0.25900000000000001</v>
      </c>
      <c r="T494" s="1012"/>
      <c r="U494" s="1012"/>
      <c r="V494" s="1013"/>
    </row>
    <row r="495" spans="2:22" ht="17.45" customHeight="1">
      <c r="B495" s="524"/>
      <c r="C495" s="262" t="s">
        <v>491</v>
      </c>
      <c r="D495" s="1019" t="s">
        <v>492</v>
      </c>
      <c r="E495" s="1019"/>
      <c r="F495" s="1019"/>
      <c r="G495" s="1019"/>
      <c r="H495" s="1019"/>
      <c r="I495" s="1019"/>
      <c r="J495" s="1020" t="s">
        <v>340</v>
      </c>
      <c r="K495" s="1020"/>
      <c r="L495" s="1021">
        <v>0.217</v>
      </c>
      <c r="M495" s="1021"/>
      <c r="N495" s="1021"/>
      <c r="O495" s="1022">
        <v>25.84</v>
      </c>
      <c r="P495" s="1022"/>
      <c r="Q495" s="1022"/>
      <c r="R495" s="1022"/>
      <c r="S495" s="1057">
        <f t="shared" si="18"/>
        <v>5.6072800000000003</v>
      </c>
      <c r="T495" s="1058"/>
      <c r="U495" s="1058"/>
      <c r="V495" s="1059"/>
    </row>
    <row r="496" spans="2:22" ht="17.45" customHeight="1">
      <c r="B496" s="1023"/>
      <c r="C496" s="1024"/>
      <c r="D496" s="1024"/>
      <c r="E496" s="1024"/>
      <c r="F496" s="1024"/>
      <c r="G496" s="1024"/>
      <c r="H496" s="1024"/>
      <c r="I496" s="1025" t="s">
        <v>347</v>
      </c>
      <c r="J496" s="1025"/>
      <c r="K496" s="1025"/>
      <c r="L496" s="1025"/>
      <c r="M496" s="1025"/>
      <c r="N496" s="1025"/>
      <c r="O496" s="1025"/>
      <c r="P496" s="1025"/>
      <c r="Q496" s="1025"/>
      <c r="R496" s="1025"/>
      <c r="S496" s="1026">
        <f>SUM(S491:V495)</f>
        <v>29.926539999999999</v>
      </c>
      <c r="T496" s="1026"/>
      <c r="U496" s="1026"/>
      <c r="V496" s="1027"/>
    </row>
    <row r="497" spans="2:22" ht="17.45" customHeight="1">
      <c r="B497" s="1028"/>
      <c r="C497" s="1029"/>
      <c r="D497" s="1029"/>
      <c r="E497" s="1029"/>
      <c r="F497" s="1029"/>
      <c r="G497" s="1029"/>
      <c r="H497" s="1029"/>
      <c r="I497" s="1029"/>
      <c r="J497" s="1029"/>
      <c r="K497" s="1029"/>
      <c r="L497" s="1029"/>
      <c r="M497" s="1029"/>
      <c r="N497" s="1029"/>
      <c r="O497" s="1029"/>
      <c r="P497" s="1029"/>
      <c r="Q497" s="1029"/>
      <c r="R497" s="1029"/>
      <c r="S497" s="1029"/>
      <c r="T497" s="1029"/>
      <c r="U497" s="1029"/>
      <c r="V497" s="1030"/>
    </row>
    <row r="498" spans="2:22" ht="17.45" customHeight="1">
      <c r="B498" s="1031"/>
      <c r="C498" s="1032"/>
      <c r="D498" s="1032"/>
      <c r="E498" s="1032"/>
      <c r="F498" s="1032"/>
      <c r="G498" s="1032"/>
      <c r="H498" s="1032"/>
      <c r="I498" s="1033" t="s">
        <v>348</v>
      </c>
      <c r="J498" s="1033"/>
      <c r="K498" s="1033"/>
      <c r="L498" s="1033"/>
      <c r="M498" s="1033"/>
      <c r="N498" s="1033"/>
      <c r="O498" s="1033"/>
      <c r="P498" s="1033"/>
      <c r="Q498" s="1033"/>
      <c r="R498" s="1033"/>
      <c r="S498" s="1012">
        <f>S496</f>
        <v>29.926539999999999</v>
      </c>
      <c r="T498" s="1012"/>
      <c r="U498" s="1012"/>
      <c r="V498" s="1013"/>
    </row>
    <row r="499" spans="2:22" ht="17.45" customHeight="1">
      <c r="B499" s="1031"/>
      <c r="C499" s="1032"/>
      <c r="D499" s="1032"/>
      <c r="E499" s="1032"/>
      <c r="F499" s="1032"/>
      <c r="G499" s="1032"/>
      <c r="H499" s="1033" t="s">
        <v>349</v>
      </c>
      <c r="I499" s="1033"/>
      <c r="J499" s="1033"/>
      <c r="K499" s="1033"/>
      <c r="L499" s="1033"/>
      <c r="M499" s="1035">
        <v>20.7</v>
      </c>
      <c r="N499" s="1035"/>
      <c r="O499" s="1035"/>
      <c r="P499" s="1036" t="s">
        <v>350</v>
      </c>
      <c r="Q499" s="1036"/>
      <c r="R499" s="1036"/>
      <c r="S499" s="1012">
        <f>TRUNC(S498*M499%,2)</f>
        <v>6.19</v>
      </c>
      <c r="T499" s="1012"/>
      <c r="U499" s="1012"/>
      <c r="V499" s="1013"/>
    </row>
    <row r="500" spans="2:22" ht="17.45" customHeight="1">
      <c r="B500" s="1014"/>
      <c r="C500" s="1015"/>
      <c r="D500" s="1015"/>
      <c r="E500" s="1015"/>
      <c r="F500" s="1015"/>
      <c r="G500" s="1015"/>
      <c r="H500" s="1015"/>
      <c r="I500" s="1016" t="s">
        <v>351</v>
      </c>
      <c r="J500" s="1016"/>
      <c r="K500" s="1016"/>
      <c r="L500" s="1016"/>
      <c r="M500" s="1016"/>
      <c r="N500" s="1016"/>
      <c r="O500" s="1016"/>
      <c r="P500" s="1016"/>
      <c r="Q500" s="1016"/>
      <c r="R500" s="1016"/>
      <c r="S500" s="1017">
        <f>S498+S499</f>
        <v>36.116540000000001</v>
      </c>
      <c r="T500" s="1017"/>
      <c r="U500" s="1017"/>
      <c r="V500" s="1018"/>
    </row>
    <row r="501" spans="2:22" ht="144.94999999999999" customHeight="1">
      <c r="B501" s="214"/>
      <c r="V501" s="217"/>
    </row>
    <row r="502" spans="2:22" ht="144.94999999999999" customHeight="1">
      <c r="B502" s="214"/>
      <c r="V502" s="217"/>
    </row>
    <row r="503" spans="2:22" ht="144.94999999999999" customHeight="1">
      <c r="B503" s="214"/>
      <c r="V503" s="217"/>
    </row>
    <row r="504" spans="2:22" ht="57" customHeight="1">
      <c r="B504" s="214"/>
      <c r="C504" s="525"/>
      <c r="D504" s="526"/>
      <c r="E504" s="526"/>
      <c r="F504" s="526"/>
      <c r="G504" s="526"/>
      <c r="H504" s="526"/>
      <c r="I504" s="526"/>
      <c r="J504" s="526"/>
      <c r="K504" s="525"/>
      <c r="L504" s="525"/>
      <c r="M504" s="525"/>
      <c r="N504" s="525"/>
      <c r="O504" s="543"/>
      <c r="P504" s="543"/>
      <c r="Q504" s="543"/>
      <c r="R504" s="543"/>
      <c r="S504" s="525"/>
      <c r="T504" s="525"/>
      <c r="U504" s="525"/>
      <c r="V504" s="217"/>
    </row>
    <row r="505" spans="2:22" s="226" customFormat="1" ht="17.45" customHeight="1">
      <c r="B505" s="533"/>
      <c r="C505" s="1041" t="s">
        <v>320</v>
      </c>
      <c r="D505" s="1041"/>
      <c r="E505" s="1041"/>
      <c r="F505" s="534"/>
      <c r="G505" s="1042" t="str">
        <f>G487</f>
        <v>Data Base: Dez./2022 (SINAPI) e Jul./2022 (SICRO) sem desoneração</v>
      </c>
      <c r="H505" s="1042"/>
      <c r="I505" s="1042"/>
      <c r="J505" s="1042"/>
      <c r="K505" s="1042"/>
      <c r="L505" s="1042"/>
      <c r="M505" s="516"/>
      <c r="N505" s="1043" t="s">
        <v>644</v>
      </c>
      <c r="O505" s="1043"/>
      <c r="P505" s="1043"/>
      <c r="Q505" s="1043"/>
      <c r="R505" s="1043"/>
      <c r="S505" s="1043"/>
      <c r="T505" s="1043"/>
      <c r="U505" s="1043"/>
      <c r="V505" s="535"/>
    </row>
    <row r="506" spans="2:22" s="226" customFormat="1" ht="17.45" customHeight="1">
      <c r="B506" s="522"/>
      <c r="C506" s="1044" t="s">
        <v>321</v>
      </c>
      <c r="D506" s="1044"/>
      <c r="E506" s="1045" t="s">
        <v>526</v>
      </c>
      <c r="F506" s="1045"/>
      <c r="G506" s="1045"/>
      <c r="H506" s="1045"/>
      <c r="I506" s="1045"/>
      <c r="J506" s="1045"/>
      <c r="K506" s="1046" t="s">
        <v>322</v>
      </c>
      <c r="L506" s="1046"/>
      <c r="M506" s="271"/>
      <c r="N506" s="1047" t="s">
        <v>547</v>
      </c>
      <c r="O506" s="1047"/>
      <c r="P506" s="1047"/>
      <c r="Q506" s="545"/>
      <c r="R506" s="545"/>
      <c r="S506" s="271"/>
      <c r="T506" s="271"/>
      <c r="U506" s="271"/>
      <c r="V506" s="536"/>
    </row>
    <row r="507" spans="2:22" s="226" customFormat="1" ht="17.45" customHeight="1">
      <c r="B507" s="524"/>
      <c r="C507" s="1044"/>
      <c r="D507" s="1044"/>
      <c r="E507" s="1045"/>
      <c r="F507" s="1045"/>
      <c r="G507" s="1045"/>
      <c r="H507" s="1045"/>
      <c r="I507" s="1045"/>
      <c r="J507" s="1045"/>
      <c r="K507" s="1048" t="s">
        <v>324</v>
      </c>
      <c r="L507" s="1048"/>
      <c r="M507" s="272"/>
      <c r="N507" s="1049">
        <v>1</v>
      </c>
      <c r="O507" s="1049"/>
      <c r="P507" s="1049"/>
      <c r="Q507" s="546"/>
      <c r="R507" s="1048" t="s">
        <v>325</v>
      </c>
      <c r="S507" s="1048"/>
      <c r="T507" s="272"/>
      <c r="U507" s="273" t="s">
        <v>356</v>
      </c>
      <c r="V507" s="537"/>
    </row>
    <row r="508" spans="2:22" s="226" customFormat="1" ht="17.45" customHeight="1">
      <c r="B508" s="1050" t="s">
        <v>327</v>
      </c>
      <c r="C508" s="1051"/>
      <c r="D508" s="1052" t="s">
        <v>234</v>
      </c>
      <c r="E508" s="1052"/>
      <c r="F508" s="1052"/>
      <c r="G508" s="1052"/>
      <c r="H508" s="1052"/>
      <c r="I508" s="1052"/>
      <c r="J508" s="1051" t="s">
        <v>241</v>
      </c>
      <c r="K508" s="1051"/>
      <c r="L508" s="1051" t="s">
        <v>245</v>
      </c>
      <c r="M508" s="1051"/>
      <c r="N508" s="1051"/>
      <c r="O508" s="1053" t="s">
        <v>328</v>
      </c>
      <c r="P508" s="1053"/>
      <c r="Q508" s="1053"/>
      <c r="R508" s="1053"/>
      <c r="S508" s="1052" t="s">
        <v>329</v>
      </c>
      <c r="T508" s="1052"/>
      <c r="U508" s="1052"/>
      <c r="V508" s="1054"/>
    </row>
    <row r="509" spans="2:22" s="226" customFormat="1" ht="17.45" customHeight="1">
      <c r="B509" s="522"/>
      <c r="C509" s="264" t="s">
        <v>527</v>
      </c>
      <c r="D509" s="1055" t="s">
        <v>528</v>
      </c>
      <c r="E509" s="1055"/>
      <c r="F509" s="1055"/>
      <c r="G509" s="1055"/>
      <c r="H509" s="1055"/>
      <c r="I509" s="1055"/>
      <c r="J509" s="1056" t="s">
        <v>335</v>
      </c>
      <c r="K509" s="1056"/>
      <c r="L509" s="1056">
        <v>5.92</v>
      </c>
      <c r="M509" s="1056"/>
      <c r="N509" s="1056"/>
      <c r="O509" s="1010">
        <v>19.28</v>
      </c>
      <c r="P509" s="1010"/>
      <c r="Q509" s="1010"/>
      <c r="R509" s="1010"/>
      <c r="S509" s="1011">
        <f t="shared" ref="S509" si="19">L509*O509</f>
        <v>114.13760000000001</v>
      </c>
      <c r="T509" s="1012"/>
      <c r="U509" s="1012"/>
      <c r="V509" s="1013"/>
    </row>
    <row r="510" spans="2:22" s="226" customFormat="1" ht="17.45" customHeight="1">
      <c r="B510" s="523"/>
      <c r="C510" s="263">
        <v>100345</v>
      </c>
      <c r="D510" s="1037" t="s">
        <v>529</v>
      </c>
      <c r="E510" s="1037"/>
      <c r="F510" s="1037"/>
      <c r="G510" s="1037"/>
      <c r="H510" s="1037"/>
      <c r="I510" s="1037"/>
      <c r="J510" s="1038" t="s">
        <v>346</v>
      </c>
      <c r="K510" s="1038"/>
      <c r="L510" s="1039">
        <v>21.06</v>
      </c>
      <c r="M510" s="1039"/>
      <c r="N510" s="1039"/>
      <c r="O510" s="1040">
        <v>13.09</v>
      </c>
      <c r="P510" s="1040"/>
      <c r="Q510" s="1040"/>
      <c r="R510" s="1040"/>
      <c r="S510" s="1011">
        <f t="shared" ref="S510" si="20">L510*O510</f>
        <v>275.67539999999997</v>
      </c>
      <c r="T510" s="1012"/>
      <c r="U510" s="1012"/>
      <c r="V510" s="1013"/>
    </row>
    <row r="511" spans="2:22" s="226" customFormat="1" ht="17.45" customHeight="1">
      <c r="B511" s="523"/>
      <c r="C511" s="263" t="s">
        <v>530</v>
      </c>
      <c r="D511" s="1037" t="s">
        <v>531</v>
      </c>
      <c r="E511" s="1037"/>
      <c r="F511" s="1037"/>
      <c r="G511" s="1037"/>
      <c r="H511" s="1037"/>
      <c r="I511" s="1037"/>
      <c r="J511" s="1038" t="s">
        <v>532</v>
      </c>
      <c r="K511" s="1038"/>
      <c r="L511" s="1039">
        <v>0.24</v>
      </c>
      <c r="M511" s="1039"/>
      <c r="N511" s="1039"/>
      <c r="O511" s="1040">
        <v>409.5</v>
      </c>
      <c r="P511" s="1040"/>
      <c r="Q511" s="1040"/>
      <c r="R511" s="1040"/>
      <c r="S511" s="1011">
        <f t="shared" ref="S511:S514" si="21">L511*O511</f>
        <v>98.28</v>
      </c>
      <c r="T511" s="1012"/>
      <c r="U511" s="1012"/>
      <c r="V511" s="1013"/>
    </row>
    <row r="512" spans="2:22" s="226" customFormat="1" ht="17.45" customHeight="1">
      <c r="B512" s="523"/>
      <c r="C512" s="263" t="s">
        <v>533</v>
      </c>
      <c r="D512" s="1037" t="s">
        <v>534</v>
      </c>
      <c r="E512" s="1037"/>
      <c r="F512" s="1037"/>
      <c r="G512" s="1037"/>
      <c r="H512" s="1037"/>
      <c r="I512" s="1037"/>
      <c r="J512" s="1038" t="s">
        <v>532</v>
      </c>
      <c r="K512" s="1038"/>
      <c r="L512" s="1039">
        <v>0.83</v>
      </c>
      <c r="M512" s="1039"/>
      <c r="N512" s="1039"/>
      <c r="O512" s="1040">
        <v>383.61</v>
      </c>
      <c r="P512" s="1040"/>
      <c r="Q512" s="1040"/>
      <c r="R512" s="1040"/>
      <c r="S512" s="1011">
        <f t="shared" si="21"/>
        <v>318.3963</v>
      </c>
      <c r="T512" s="1012"/>
      <c r="U512" s="1012"/>
      <c r="V512" s="1013"/>
    </row>
    <row r="513" spans="2:22" s="226" customFormat="1" ht="17.45" customHeight="1">
      <c r="B513" s="523"/>
      <c r="C513" s="263" t="s">
        <v>535</v>
      </c>
      <c r="D513" s="1037" t="s">
        <v>536</v>
      </c>
      <c r="E513" s="1037"/>
      <c r="F513" s="1037"/>
      <c r="G513" s="1037"/>
      <c r="H513" s="1037"/>
      <c r="I513" s="1037"/>
      <c r="J513" s="1038" t="s">
        <v>537</v>
      </c>
      <c r="K513" s="1038"/>
      <c r="L513" s="1039">
        <v>9.5399999999999991</v>
      </c>
      <c r="M513" s="1039"/>
      <c r="N513" s="1039"/>
      <c r="O513" s="1040">
        <v>94.69</v>
      </c>
      <c r="P513" s="1040"/>
      <c r="Q513" s="1040"/>
      <c r="R513" s="1040"/>
      <c r="S513" s="1011">
        <f t="shared" si="21"/>
        <v>903.34259999999995</v>
      </c>
      <c r="T513" s="1012"/>
      <c r="U513" s="1012"/>
      <c r="V513" s="1013"/>
    </row>
    <row r="514" spans="2:22" s="226" customFormat="1" ht="17.45" customHeight="1">
      <c r="B514" s="524"/>
      <c r="C514" s="262" t="s">
        <v>538</v>
      </c>
      <c r="D514" s="1019" t="s">
        <v>539</v>
      </c>
      <c r="E514" s="1019"/>
      <c r="F514" s="1019"/>
      <c r="G514" s="1019"/>
      <c r="H514" s="1019"/>
      <c r="I514" s="1019"/>
      <c r="J514" s="1020" t="s">
        <v>537</v>
      </c>
      <c r="K514" s="1020"/>
      <c r="L514" s="1021">
        <v>4.13</v>
      </c>
      <c r="M514" s="1021"/>
      <c r="N514" s="1021"/>
      <c r="O514" s="1022">
        <v>55.47</v>
      </c>
      <c r="P514" s="1022"/>
      <c r="Q514" s="1022"/>
      <c r="R514" s="1022"/>
      <c r="S514" s="1011">
        <f t="shared" si="21"/>
        <v>229.09109999999998</v>
      </c>
      <c r="T514" s="1012"/>
      <c r="U514" s="1012"/>
      <c r="V514" s="1013"/>
    </row>
    <row r="515" spans="2:22" s="226" customFormat="1" ht="17.45" customHeight="1">
      <c r="B515" s="1023"/>
      <c r="C515" s="1024"/>
      <c r="D515" s="1024"/>
      <c r="E515" s="1024"/>
      <c r="F515" s="1024"/>
      <c r="G515" s="1024"/>
      <c r="H515" s="1024"/>
      <c r="I515" s="1025" t="s">
        <v>347</v>
      </c>
      <c r="J515" s="1025"/>
      <c r="K515" s="1025"/>
      <c r="L515" s="1025"/>
      <c r="M515" s="1025"/>
      <c r="N515" s="1025"/>
      <c r="O515" s="1025"/>
      <c r="P515" s="1025"/>
      <c r="Q515" s="1025"/>
      <c r="R515" s="1025"/>
      <c r="S515" s="1026">
        <f>SUM(S509:V514)</f>
        <v>1938.9229999999998</v>
      </c>
      <c r="T515" s="1026"/>
      <c r="U515" s="1026"/>
      <c r="V515" s="1027"/>
    </row>
    <row r="516" spans="2:22" s="226" customFormat="1" ht="17.45" customHeight="1">
      <c r="B516" s="1028"/>
      <c r="C516" s="1029"/>
      <c r="D516" s="1029"/>
      <c r="E516" s="1029"/>
      <c r="F516" s="1029"/>
      <c r="G516" s="1029"/>
      <c r="H516" s="1029"/>
      <c r="I516" s="1029"/>
      <c r="J516" s="1029"/>
      <c r="K516" s="1029"/>
      <c r="L516" s="1029"/>
      <c r="M516" s="1029"/>
      <c r="N516" s="1029"/>
      <c r="O516" s="1029"/>
      <c r="P516" s="1029"/>
      <c r="Q516" s="1029"/>
      <c r="R516" s="1029"/>
      <c r="S516" s="1029"/>
      <c r="T516" s="1029"/>
      <c r="U516" s="1029"/>
      <c r="V516" s="1030"/>
    </row>
    <row r="517" spans="2:22" s="226" customFormat="1" ht="17.45" customHeight="1">
      <c r="B517" s="1031"/>
      <c r="C517" s="1032"/>
      <c r="D517" s="1032"/>
      <c r="E517" s="1032"/>
      <c r="F517" s="1032"/>
      <c r="G517" s="1032"/>
      <c r="H517" s="1032"/>
      <c r="I517" s="1033" t="s">
        <v>348</v>
      </c>
      <c r="J517" s="1033"/>
      <c r="K517" s="1033"/>
      <c r="L517" s="1033"/>
      <c r="M517" s="1033"/>
      <c r="N517" s="1033"/>
      <c r="O517" s="1033"/>
      <c r="P517" s="1033"/>
      <c r="Q517" s="1033"/>
      <c r="R517" s="1033"/>
      <c r="S517" s="1034">
        <f>S515</f>
        <v>1938.9229999999998</v>
      </c>
      <c r="T517" s="1034"/>
      <c r="U517" s="1034"/>
      <c r="V517" s="1013"/>
    </row>
    <row r="518" spans="2:22" s="226" customFormat="1" ht="17.45" customHeight="1">
      <c r="B518" s="1031"/>
      <c r="C518" s="1032"/>
      <c r="D518" s="1032"/>
      <c r="E518" s="1032"/>
      <c r="F518" s="1032"/>
      <c r="G518" s="1032"/>
      <c r="H518" s="1033" t="s">
        <v>349</v>
      </c>
      <c r="I518" s="1033"/>
      <c r="J518" s="1033"/>
      <c r="K518" s="1033"/>
      <c r="L518" s="1033"/>
      <c r="M518" s="1035">
        <v>20.7</v>
      </c>
      <c r="N518" s="1035"/>
      <c r="O518" s="1035"/>
      <c r="P518" s="1036" t="s">
        <v>350</v>
      </c>
      <c r="Q518" s="1036"/>
      <c r="R518" s="1036"/>
      <c r="S518" s="1012">
        <f>TRUNC(S517*M518%,2)</f>
        <v>401.35</v>
      </c>
      <c r="T518" s="1012"/>
      <c r="U518" s="1012"/>
      <c r="V518" s="1013"/>
    </row>
    <row r="519" spans="2:22" s="226" customFormat="1" ht="17.45" customHeight="1">
      <c r="B519" s="1014"/>
      <c r="C519" s="1015"/>
      <c r="D519" s="1015"/>
      <c r="E519" s="1015"/>
      <c r="F519" s="1015"/>
      <c r="G519" s="1015"/>
      <c r="H519" s="1015"/>
      <c r="I519" s="1016" t="s">
        <v>351</v>
      </c>
      <c r="J519" s="1016"/>
      <c r="K519" s="1016"/>
      <c r="L519" s="1016"/>
      <c r="M519" s="1016"/>
      <c r="N519" s="1016"/>
      <c r="O519" s="1016"/>
      <c r="P519" s="1016"/>
      <c r="Q519" s="1016"/>
      <c r="R519" s="1016"/>
      <c r="S519" s="1017">
        <f>S517+S518</f>
        <v>2340.2729999999997</v>
      </c>
      <c r="T519" s="1017"/>
      <c r="U519" s="1017"/>
      <c r="V519" s="1018"/>
    </row>
    <row r="520" spans="2:22" s="226" customFormat="1" ht="144.94999999999999" customHeight="1">
      <c r="B520" s="251"/>
      <c r="C520" s="275"/>
      <c r="D520" s="276"/>
      <c r="E520" s="276"/>
      <c r="F520" s="276"/>
      <c r="G520" s="276"/>
      <c r="H520" s="276"/>
      <c r="I520" s="276"/>
      <c r="J520" s="276"/>
      <c r="K520" s="275"/>
      <c r="L520" s="275"/>
      <c r="M520" s="275"/>
      <c r="N520" s="275"/>
      <c r="O520" s="447"/>
      <c r="P520" s="447"/>
      <c r="Q520" s="447"/>
      <c r="R520" s="447"/>
      <c r="S520" s="275"/>
      <c r="T520" s="275"/>
      <c r="U520" s="275"/>
      <c r="V520" s="277"/>
    </row>
    <row r="521" spans="2:22" s="226" customFormat="1" ht="144.94999999999999" customHeight="1">
      <c r="B521" s="251"/>
      <c r="C521" s="275"/>
      <c r="D521" s="276"/>
      <c r="E521" s="276"/>
      <c r="F521" s="276"/>
      <c r="G521" s="276"/>
      <c r="H521" s="276"/>
      <c r="I521" s="276"/>
      <c r="J521" s="276"/>
      <c r="K521" s="275"/>
      <c r="L521" s="275"/>
      <c r="M521" s="275"/>
      <c r="N521" s="275"/>
      <c r="O521" s="447"/>
      <c r="P521" s="447"/>
      <c r="Q521" s="447"/>
      <c r="R521" s="447"/>
      <c r="S521" s="275"/>
      <c r="T521" s="275"/>
      <c r="U521" s="275"/>
      <c r="V521" s="277"/>
    </row>
    <row r="522" spans="2:22" s="226" customFormat="1" ht="144.94999999999999" customHeight="1">
      <c r="B522" s="251"/>
      <c r="C522" s="275"/>
      <c r="D522" s="276"/>
      <c r="E522" s="276"/>
      <c r="F522" s="276"/>
      <c r="G522" s="276"/>
      <c r="H522" s="276"/>
      <c r="I522" s="276"/>
      <c r="J522" s="276"/>
      <c r="K522" s="275"/>
      <c r="L522" s="275"/>
      <c r="M522" s="275"/>
      <c r="N522" s="275"/>
      <c r="O522" s="447"/>
      <c r="P522" s="447"/>
      <c r="Q522" s="447"/>
      <c r="R522" s="447"/>
      <c r="S522" s="275"/>
      <c r="T522" s="275"/>
      <c r="U522" s="275"/>
      <c r="V522" s="277"/>
    </row>
    <row r="523" spans="2:22" s="226" customFormat="1" ht="17.45" customHeight="1">
      <c r="B523" s="250"/>
      <c r="C523" s="272"/>
      <c r="D523" s="278"/>
      <c r="E523" s="278"/>
      <c r="F523" s="278"/>
      <c r="G523" s="278"/>
      <c r="H523" s="278"/>
      <c r="I523" s="278"/>
      <c r="J523" s="278"/>
      <c r="K523" s="272"/>
      <c r="L523" s="272"/>
      <c r="M523" s="272"/>
      <c r="N523" s="272"/>
      <c r="O523" s="546"/>
      <c r="P523" s="546"/>
      <c r="Q523" s="546"/>
      <c r="R523" s="546"/>
      <c r="S523" s="272"/>
      <c r="T523" s="272"/>
      <c r="U523" s="272"/>
      <c r="V523" s="274"/>
    </row>
  </sheetData>
  <mergeCells count="1628">
    <mergeCell ref="B247:V247"/>
    <mergeCell ref="B248:H248"/>
    <mergeCell ref="I248:R248"/>
    <mergeCell ref="S248:V248"/>
    <mergeCell ref="B249:G249"/>
    <mergeCell ref="H249:L249"/>
    <mergeCell ref="M249:O249"/>
    <mergeCell ref="P249:R249"/>
    <mergeCell ref="S249:V249"/>
    <mergeCell ref="B250:H250"/>
    <mergeCell ref="I250:R250"/>
    <mergeCell ref="S250:V250"/>
    <mergeCell ref="D243:I243"/>
    <mergeCell ref="J243:K243"/>
    <mergeCell ref="L243:N243"/>
    <mergeCell ref="O243:R243"/>
    <mergeCell ref="S243:V243"/>
    <mergeCell ref="D244:I244"/>
    <mergeCell ref="J244:K244"/>
    <mergeCell ref="L244:N244"/>
    <mergeCell ref="O244:R244"/>
    <mergeCell ref="S244:V244"/>
    <mergeCell ref="D245:I245"/>
    <mergeCell ref="J245:K245"/>
    <mergeCell ref="L245:N245"/>
    <mergeCell ref="O245:R245"/>
    <mergeCell ref="S245:V245"/>
    <mergeCell ref="B246:H246"/>
    <mergeCell ref="I246:R246"/>
    <mergeCell ref="S246:V246"/>
    <mergeCell ref="D239:I239"/>
    <mergeCell ref="J239:K239"/>
    <mergeCell ref="L239:N239"/>
    <mergeCell ref="O239:R239"/>
    <mergeCell ref="S239:V239"/>
    <mergeCell ref="D240:I240"/>
    <mergeCell ref="J240:K240"/>
    <mergeCell ref="L240:N240"/>
    <mergeCell ref="O240:R240"/>
    <mergeCell ref="S240:V240"/>
    <mergeCell ref="D241:I241"/>
    <mergeCell ref="J241:K241"/>
    <mergeCell ref="L241:N241"/>
    <mergeCell ref="O241:R241"/>
    <mergeCell ref="S241:V241"/>
    <mergeCell ref="D242:I242"/>
    <mergeCell ref="J242:K242"/>
    <mergeCell ref="L242:N242"/>
    <mergeCell ref="O242:R242"/>
    <mergeCell ref="S242:V242"/>
    <mergeCell ref="D235:I235"/>
    <mergeCell ref="J235:K235"/>
    <mergeCell ref="L235:N235"/>
    <mergeCell ref="O235:R235"/>
    <mergeCell ref="S235:V235"/>
    <mergeCell ref="D236:I236"/>
    <mergeCell ref="J236:K236"/>
    <mergeCell ref="L236:N236"/>
    <mergeCell ref="O236:R236"/>
    <mergeCell ref="S236:V236"/>
    <mergeCell ref="D237:I237"/>
    <mergeCell ref="J237:K237"/>
    <mergeCell ref="L237:N237"/>
    <mergeCell ref="O237:R237"/>
    <mergeCell ref="S237:V237"/>
    <mergeCell ref="D238:I238"/>
    <mergeCell ref="J238:K238"/>
    <mergeCell ref="L238:N238"/>
    <mergeCell ref="O238:R238"/>
    <mergeCell ref="S238:V238"/>
    <mergeCell ref="R231:S231"/>
    <mergeCell ref="B232:C232"/>
    <mergeCell ref="D232:I232"/>
    <mergeCell ref="J232:K232"/>
    <mergeCell ref="L232:N232"/>
    <mergeCell ref="O232:R232"/>
    <mergeCell ref="S232:V232"/>
    <mergeCell ref="D233:I233"/>
    <mergeCell ref="J233:K233"/>
    <mergeCell ref="L233:N233"/>
    <mergeCell ref="O233:R233"/>
    <mergeCell ref="S233:V233"/>
    <mergeCell ref="D234:I234"/>
    <mergeCell ref="J234:K234"/>
    <mergeCell ref="L234:N234"/>
    <mergeCell ref="O234:R234"/>
    <mergeCell ref="S234:V234"/>
    <mergeCell ref="D6:I6"/>
    <mergeCell ref="J6:K6"/>
    <mergeCell ref="L6:N6"/>
    <mergeCell ref="O6:R6"/>
    <mergeCell ref="S6:V6"/>
    <mergeCell ref="D7:I7"/>
    <mergeCell ref="J7:K7"/>
    <mergeCell ref="L7:N7"/>
    <mergeCell ref="O7:R7"/>
    <mergeCell ref="S7:V7"/>
    <mergeCell ref="B5:C5"/>
    <mergeCell ref="D5:I5"/>
    <mergeCell ref="J5:K5"/>
    <mergeCell ref="L5:N5"/>
    <mergeCell ref="O5:R5"/>
    <mergeCell ref="S5:V5"/>
    <mergeCell ref="C2:E2"/>
    <mergeCell ref="G2:L2"/>
    <mergeCell ref="N2:U2"/>
    <mergeCell ref="C3:D4"/>
    <mergeCell ref="E3:J4"/>
    <mergeCell ref="K3:L3"/>
    <mergeCell ref="N3:P3"/>
    <mergeCell ref="K4:L4"/>
    <mergeCell ref="N4:P4"/>
    <mergeCell ref="R4:S4"/>
    <mergeCell ref="D10:I10"/>
    <mergeCell ref="J10:K10"/>
    <mergeCell ref="L10:N10"/>
    <mergeCell ref="O10:R10"/>
    <mergeCell ref="S10:V10"/>
    <mergeCell ref="D11:I11"/>
    <mergeCell ref="J11:K11"/>
    <mergeCell ref="L11:N11"/>
    <mergeCell ref="O11:R11"/>
    <mergeCell ref="S11:V11"/>
    <mergeCell ref="D8:I8"/>
    <mergeCell ref="J8:K8"/>
    <mergeCell ref="L8:N8"/>
    <mergeCell ref="O8:R8"/>
    <mergeCell ref="S8:V8"/>
    <mergeCell ref="D9:I9"/>
    <mergeCell ref="J9:K9"/>
    <mergeCell ref="L9:N9"/>
    <mergeCell ref="O9:R9"/>
    <mergeCell ref="S9:V9"/>
    <mergeCell ref="B14:V14"/>
    <mergeCell ref="B15:H15"/>
    <mergeCell ref="I15:R15"/>
    <mergeCell ref="S15:V15"/>
    <mergeCell ref="B16:G16"/>
    <mergeCell ref="H16:L16"/>
    <mergeCell ref="M16:O16"/>
    <mergeCell ref="P16:R16"/>
    <mergeCell ref="S16:V16"/>
    <mergeCell ref="D12:I12"/>
    <mergeCell ref="J12:K12"/>
    <mergeCell ref="L12:N12"/>
    <mergeCell ref="O12:R12"/>
    <mergeCell ref="S12:V12"/>
    <mergeCell ref="B13:H13"/>
    <mergeCell ref="I13:R13"/>
    <mergeCell ref="S13:V13"/>
    <mergeCell ref="R24:S24"/>
    <mergeCell ref="B25:C25"/>
    <mergeCell ref="D25:I25"/>
    <mergeCell ref="J25:K25"/>
    <mergeCell ref="L25:N25"/>
    <mergeCell ref="O25:R25"/>
    <mergeCell ref="S25:V25"/>
    <mergeCell ref="C23:D24"/>
    <mergeCell ref="E23:J24"/>
    <mergeCell ref="K23:L23"/>
    <mergeCell ref="N23:P23"/>
    <mergeCell ref="K24:L24"/>
    <mergeCell ref="N24:P24"/>
    <mergeCell ref="B17:H17"/>
    <mergeCell ref="I17:R17"/>
    <mergeCell ref="S17:V17"/>
    <mergeCell ref="C22:E22"/>
    <mergeCell ref="G22:L22"/>
    <mergeCell ref="N22:U22"/>
    <mergeCell ref="B31:H31"/>
    <mergeCell ref="I31:R31"/>
    <mergeCell ref="S31:V31"/>
    <mergeCell ref="C37:E37"/>
    <mergeCell ref="G37:L37"/>
    <mergeCell ref="N37:U37"/>
    <mergeCell ref="B28:V28"/>
    <mergeCell ref="B29:H29"/>
    <mergeCell ref="I29:R29"/>
    <mergeCell ref="S29:V29"/>
    <mergeCell ref="B30:G30"/>
    <mergeCell ref="H30:L30"/>
    <mergeCell ref="M30:O30"/>
    <mergeCell ref="P30:R30"/>
    <mergeCell ref="S30:V30"/>
    <mergeCell ref="D26:I26"/>
    <mergeCell ref="J26:K26"/>
    <mergeCell ref="L26:N26"/>
    <mergeCell ref="O26:R26"/>
    <mergeCell ref="S26:V26"/>
    <mergeCell ref="B27:H27"/>
    <mergeCell ref="I27:R27"/>
    <mergeCell ref="S27:V27"/>
    <mergeCell ref="D41:I41"/>
    <mergeCell ref="J41:K41"/>
    <mergeCell ref="L41:N41"/>
    <mergeCell ref="O41:R41"/>
    <mergeCell ref="S41:V41"/>
    <mergeCell ref="D42:I42"/>
    <mergeCell ref="J42:K42"/>
    <mergeCell ref="L42:N42"/>
    <mergeCell ref="O42:R42"/>
    <mergeCell ref="S42:V42"/>
    <mergeCell ref="R39:S39"/>
    <mergeCell ref="B40:C40"/>
    <mergeCell ref="D40:I40"/>
    <mergeCell ref="J40:K40"/>
    <mergeCell ref="L40:N40"/>
    <mergeCell ref="O40:R40"/>
    <mergeCell ref="S40:V40"/>
    <mergeCell ref="C38:D39"/>
    <mergeCell ref="E38:J39"/>
    <mergeCell ref="K38:L38"/>
    <mergeCell ref="N38:P38"/>
    <mergeCell ref="K39:L39"/>
    <mergeCell ref="N39:P39"/>
    <mergeCell ref="D45:I45"/>
    <mergeCell ref="J45:K45"/>
    <mergeCell ref="L45:N45"/>
    <mergeCell ref="O45:R45"/>
    <mergeCell ref="S45:V45"/>
    <mergeCell ref="D46:I46"/>
    <mergeCell ref="J46:K46"/>
    <mergeCell ref="L46:N46"/>
    <mergeCell ref="O46:R46"/>
    <mergeCell ref="S46:V46"/>
    <mergeCell ref="D43:I43"/>
    <mergeCell ref="J43:K43"/>
    <mergeCell ref="L43:N43"/>
    <mergeCell ref="O43:R43"/>
    <mergeCell ref="S43:V43"/>
    <mergeCell ref="D44:I44"/>
    <mergeCell ref="J44:K44"/>
    <mergeCell ref="L44:N44"/>
    <mergeCell ref="O44:R44"/>
    <mergeCell ref="S44:V44"/>
    <mergeCell ref="B52:H52"/>
    <mergeCell ref="I52:R52"/>
    <mergeCell ref="S52:V52"/>
    <mergeCell ref="C57:E57"/>
    <mergeCell ref="G57:L57"/>
    <mergeCell ref="N57:U57"/>
    <mergeCell ref="B49:V49"/>
    <mergeCell ref="B50:H50"/>
    <mergeCell ref="I50:R50"/>
    <mergeCell ref="S50:V50"/>
    <mergeCell ref="B51:G51"/>
    <mergeCell ref="H51:L51"/>
    <mergeCell ref="M51:O51"/>
    <mergeCell ref="P51:R51"/>
    <mergeCell ref="S51:V51"/>
    <mergeCell ref="D47:I47"/>
    <mergeCell ref="J47:K47"/>
    <mergeCell ref="L47:N47"/>
    <mergeCell ref="O47:R47"/>
    <mergeCell ref="S47:V47"/>
    <mergeCell ref="B48:H48"/>
    <mergeCell ref="I48:R48"/>
    <mergeCell ref="S48:V48"/>
    <mergeCell ref="D61:I61"/>
    <mergeCell ref="J61:K61"/>
    <mergeCell ref="L61:N61"/>
    <mergeCell ref="O61:R61"/>
    <mergeCell ref="S61:V61"/>
    <mergeCell ref="D62:I62"/>
    <mergeCell ref="J62:K62"/>
    <mergeCell ref="L62:N62"/>
    <mergeCell ref="O62:R62"/>
    <mergeCell ref="S62:V62"/>
    <mergeCell ref="R59:S59"/>
    <mergeCell ref="B60:C60"/>
    <mergeCell ref="D60:I60"/>
    <mergeCell ref="J60:K60"/>
    <mergeCell ref="L60:N60"/>
    <mergeCell ref="O60:R60"/>
    <mergeCell ref="S60:V60"/>
    <mergeCell ref="C58:D59"/>
    <mergeCell ref="E58:J59"/>
    <mergeCell ref="K58:L58"/>
    <mergeCell ref="N58:P58"/>
    <mergeCell ref="K59:L59"/>
    <mergeCell ref="N59:P59"/>
    <mergeCell ref="D65:I65"/>
    <mergeCell ref="J65:K65"/>
    <mergeCell ref="L65:N65"/>
    <mergeCell ref="O65:R65"/>
    <mergeCell ref="S65:V65"/>
    <mergeCell ref="D66:I66"/>
    <mergeCell ref="J66:K66"/>
    <mergeCell ref="L66:N66"/>
    <mergeCell ref="O66:R66"/>
    <mergeCell ref="S66:V66"/>
    <mergeCell ref="D63:I63"/>
    <mergeCell ref="J63:K63"/>
    <mergeCell ref="L63:N63"/>
    <mergeCell ref="O63:R63"/>
    <mergeCell ref="S63:V63"/>
    <mergeCell ref="D64:I64"/>
    <mergeCell ref="J64:K64"/>
    <mergeCell ref="L64:N64"/>
    <mergeCell ref="O64:R64"/>
    <mergeCell ref="S64:V64"/>
    <mergeCell ref="B72:H72"/>
    <mergeCell ref="I72:R72"/>
    <mergeCell ref="S72:V72"/>
    <mergeCell ref="C77:E77"/>
    <mergeCell ref="G77:L77"/>
    <mergeCell ref="N77:U77"/>
    <mergeCell ref="B69:V69"/>
    <mergeCell ref="B70:H70"/>
    <mergeCell ref="I70:R70"/>
    <mergeCell ref="S70:V70"/>
    <mergeCell ref="B71:G71"/>
    <mergeCell ref="H71:L71"/>
    <mergeCell ref="M71:O71"/>
    <mergeCell ref="P71:R71"/>
    <mergeCell ref="S71:V71"/>
    <mergeCell ref="D67:I67"/>
    <mergeCell ref="J67:K67"/>
    <mergeCell ref="L67:N67"/>
    <mergeCell ref="O67:R67"/>
    <mergeCell ref="S67:V67"/>
    <mergeCell ref="B68:H68"/>
    <mergeCell ref="I68:R68"/>
    <mergeCell ref="S68:V68"/>
    <mergeCell ref="D81:I81"/>
    <mergeCell ref="J81:K81"/>
    <mergeCell ref="L81:N81"/>
    <mergeCell ref="O81:R81"/>
    <mergeCell ref="S81:V81"/>
    <mergeCell ref="D82:I82"/>
    <mergeCell ref="J82:K82"/>
    <mergeCell ref="L82:N82"/>
    <mergeCell ref="O82:R82"/>
    <mergeCell ref="S82:V82"/>
    <mergeCell ref="R79:S79"/>
    <mergeCell ref="B80:C80"/>
    <mergeCell ref="D80:I80"/>
    <mergeCell ref="J80:K80"/>
    <mergeCell ref="L80:N80"/>
    <mergeCell ref="O80:R80"/>
    <mergeCell ref="S80:V80"/>
    <mergeCell ref="C78:D79"/>
    <mergeCell ref="E78:J79"/>
    <mergeCell ref="K78:L78"/>
    <mergeCell ref="N78:P78"/>
    <mergeCell ref="K79:L79"/>
    <mergeCell ref="N79:P79"/>
    <mergeCell ref="D85:I85"/>
    <mergeCell ref="J85:K85"/>
    <mergeCell ref="L85:N85"/>
    <mergeCell ref="O85:R85"/>
    <mergeCell ref="S85:V85"/>
    <mergeCell ref="D86:I86"/>
    <mergeCell ref="J86:K86"/>
    <mergeCell ref="L86:N86"/>
    <mergeCell ref="O86:R86"/>
    <mergeCell ref="S86:V86"/>
    <mergeCell ref="D83:I83"/>
    <mergeCell ref="J83:K83"/>
    <mergeCell ref="L83:N83"/>
    <mergeCell ref="O83:R83"/>
    <mergeCell ref="S83:V83"/>
    <mergeCell ref="D84:I84"/>
    <mergeCell ref="J84:K84"/>
    <mergeCell ref="L84:N84"/>
    <mergeCell ref="O84:R84"/>
    <mergeCell ref="S84:V84"/>
    <mergeCell ref="B92:G92"/>
    <mergeCell ref="H92:L92"/>
    <mergeCell ref="M92:O92"/>
    <mergeCell ref="P92:R92"/>
    <mergeCell ref="S92:V92"/>
    <mergeCell ref="B93:H93"/>
    <mergeCell ref="I93:R93"/>
    <mergeCell ref="S93:V93"/>
    <mergeCell ref="B89:H89"/>
    <mergeCell ref="I89:R89"/>
    <mergeCell ref="S89:V89"/>
    <mergeCell ref="B90:V90"/>
    <mergeCell ref="B91:H91"/>
    <mergeCell ref="I91:R91"/>
    <mergeCell ref="S91:V91"/>
    <mergeCell ref="D87:I87"/>
    <mergeCell ref="J87:K87"/>
    <mergeCell ref="L87:N87"/>
    <mergeCell ref="O87:R87"/>
    <mergeCell ref="S87:V87"/>
    <mergeCell ref="D88:I88"/>
    <mergeCell ref="J88:K88"/>
    <mergeCell ref="L88:N88"/>
    <mergeCell ref="O88:R88"/>
    <mergeCell ref="S88:V88"/>
    <mergeCell ref="D102:I102"/>
    <mergeCell ref="J102:K102"/>
    <mergeCell ref="L102:N102"/>
    <mergeCell ref="O102:R102"/>
    <mergeCell ref="S102:V102"/>
    <mergeCell ref="D103:I103"/>
    <mergeCell ref="J103:K103"/>
    <mergeCell ref="L103:N103"/>
    <mergeCell ref="O103:R103"/>
    <mergeCell ref="S103:V103"/>
    <mergeCell ref="B101:C101"/>
    <mergeCell ref="D101:I101"/>
    <mergeCell ref="J101:K101"/>
    <mergeCell ref="L101:N101"/>
    <mergeCell ref="O101:R101"/>
    <mergeCell ref="S101:V101"/>
    <mergeCell ref="C98:E98"/>
    <mergeCell ref="G98:L98"/>
    <mergeCell ref="N98:U98"/>
    <mergeCell ref="C99:D100"/>
    <mergeCell ref="E99:J100"/>
    <mergeCell ref="K99:L99"/>
    <mergeCell ref="N99:P99"/>
    <mergeCell ref="K100:L100"/>
    <mergeCell ref="N100:P100"/>
    <mergeCell ref="R100:S100"/>
    <mergeCell ref="D106:I106"/>
    <mergeCell ref="J106:K106"/>
    <mergeCell ref="L106:N106"/>
    <mergeCell ref="O106:R106"/>
    <mergeCell ref="S106:V106"/>
    <mergeCell ref="D107:I107"/>
    <mergeCell ref="J107:K107"/>
    <mergeCell ref="L107:N107"/>
    <mergeCell ref="O107:R107"/>
    <mergeCell ref="S107:V107"/>
    <mergeCell ref="D104:I104"/>
    <mergeCell ref="J104:K104"/>
    <mergeCell ref="L104:N104"/>
    <mergeCell ref="O104:R104"/>
    <mergeCell ref="S104:V104"/>
    <mergeCell ref="D105:I105"/>
    <mergeCell ref="J105:K105"/>
    <mergeCell ref="L105:N105"/>
    <mergeCell ref="O105:R105"/>
    <mergeCell ref="S105:V105"/>
    <mergeCell ref="B110:H110"/>
    <mergeCell ref="I110:R110"/>
    <mergeCell ref="S110:V110"/>
    <mergeCell ref="B111:V111"/>
    <mergeCell ref="B112:H112"/>
    <mergeCell ref="I112:R112"/>
    <mergeCell ref="S112:V112"/>
    <mergeCell ref="D108:I108"/>
    <mergeCell ref="J108:K108"/>
    <mergeCell ref="L108:N108"/>
    <mergeCell ref="O108:R108"/>
    <mergeCell ref="S108:V108"/>
    <mergeCell ref="D109:I109"/>
    <mergeCell ref="J109:K109"/>
    <mergeCell ref="L109:N109"/>
    <mergeCell ref="O109:R109"/>
    <mergeCell ref="S109:V109"/>
    <mergeCell ref="B122:C122"/>
    <mergeCell ref="D122:I122"/>
    <mergeCell ref="J122:K122"/>
    <mergeCell ref="L122:N122"/>
    <mergeCell ref="O122:R122"/>
    <mergeCell ref="S122:V122"/>
    <mergeCell ref="C119:E119"/>
    <mergeCell ref="G119:L119"/>
    <mergeCell ref="N119:U119"/>
    <mergeCell ref="C120:D121"/>
    <mergeCell ref="E120:J121"/>
    <mergeCell ref="K120:L120"/>
    <mergeCell ref="N120:P120"/>
    <mergeCell ref="K121:L121"/>
    <mergeCell ref="N121:P121"/>
    <mergeCell ref="R121:S121"/>
    <mergeCell ref="B113:G113"/>
    <mergeCell ref="H113:L113"/>
    <mergeCell ref="M113:O113"/>
    <mergeCell ref="P113:R113"/>
    <mergeCell ref="S113:V113"/>
    <mergeCell ref="B114:H114"/>
    <mergeCell ref="I114:R114"/>
    <mergeCell ref="S114:V114"/>
    <mergeCell ref="B125:H125"/>
    <mergeCell ref="I125:R125"/>
    <mergeCell ref="S125:V125"/>
    <mergeCell ref="B126:V126"/>
    <mergeCell ref="B127:H127"/>
    <mergeCell ref="I127:R127"/>
    <mergeCell ref="S127:V127"/>
    <mergeCell ref="D123:I123"/>
    <mergeCell ref="J123:K123"/>
    <mergeCell ref="L123:N123"/>
    <mergeCell ref="O123:R123"/>
    <mergeCell ref="S123:V123"/>
    <mergeCell ref="D124:I124"/>
    <mergeCell ref="J124:K124"/>
    <mergeCell ref="L124:N124"/>
    <mergeCell ref="O124:R124"/>
    <mergeCell ref="S124:V124"/>
    <mergeCell ref="B138:C138"/>
    <mergeCell ref="D138:I138"/>
    <mergeCell ref="J138:K138"/>
    <mergeCell ref="L138:N138"/>
    <mergeCell ref="O138:R138"/>
    <mergeCell ref="S138:V138"/>
    <mergeCell ref="C135:E135"/>
    <mergeCell ref="G135:L135"/>
    <mergeCell ref="N135:U135"/>
    <mergeCell ref="C136:D137"/>
    <mergeCell ref="E136:J137"/>
    <mergeCell ref="K136:L136"/>
    <mergeCell ref="N136:P136"/>
    <mergeCell ref="K137:L137"/>
    <mergeCell ref="N137:P137"/>
    <mergeCell ref="R137:S137"/>
    <mergeCell ref="B128:G128"/>
    <mergeCell ref="H128:L128"/>
    <mergeCell ref="M128:O128"/>
    <mergeCell ref="P128:R128"/>
    <mergeCell ref="S128:V128"/>
    <mergeCell ref="B129:H129"/>
    <mergeCell ref="I129:R129"/>
    <mergeCell ref="S129:V129"/>
    <mergeCell ref="B141:H141"/>
    <mergeCell ref="I141:R141"/>
    <mergeCell ref="S141:V141"/>
    <mergeCell ref="B142:V142"/>
    <mergeCell ref="B143:H143"/>
    <mergeCell ref="I143:R143"/>
    <mergeCell ref="S143:V143"/>
    <mergeCell ref="D139:I139"/>
    <mergeCell ref="J139:K139"/>
    <mergeCell ref="L139:N139"/>
    <mergeCell ref="O139:R139"/>
    <mergeCell ref="S139:V139"/>
    <mergeCell ref="D140:I140"/>
    <mergeCell ref="J140:K140"/>
    <mergeCell ref="L140:N140"/>
    <mergeCell ref="O140:R140"/>
    <mergeCell ref="S140:V140"/>
    <mergeCell ref="B154:C154"/>
    <mergeCell ref="D154:I154"/>
    <mergeCell ref="J154:K154"/>
    <mergeCell ref="L154:N154"/>
    <mergeCell ref="O154:R154"/>
    <mergeCell ref="S154:V154"/>
    <mergeCell ref="C151:E151"/>
    <mergeCell ref="G151:L151"/>
    <mergeCell ref="N151:U151"/>
    <mergeCell ref="C152:D153"/>
    <mergeCell ref="E152:J153"/>
    <mergeCell ref="K152:L152"/>
    <mergeCell ref="N152:P152"/>
    <mergeCell ref="K153:L153"/>
    <mergeCell ref="N153:P153"/>
    <mergeCell ref="R153:S153"/>
    <mergeCell ref="B144:G144"/>
    <mergeCell ref="H144:L144"/>
    <mergeCell ref="M144:O144"/>
    <mergeCell ref="P144:R144"/>
    <mergeCell ref="S144:V144"/>
    <mergeCell ref="B145:H145"/>
    <mergeCell ref="I145:R145"/>
    <mergeCell ref="S145:V145"/>
    <mergeCell ref="B157:H157"/>
    <mergeCell ref="I157:R157"/>
    <mergeCell ref="S157:V157"/>
    <mergeCell ref="B158:V158"/>
    <mergeCell ref="B159:H159"/>
    <mergeCell ref="I159:R159"/>
    <mergeCell ref="S159:V159"/>
    <mergeCell ref="D155:I155"/>
    <mergeCell ref="J155:K155"/>
    <mergeCell ref="L155:N155"/>
    <mergeCell ref="O155:R155"/>
    <mergeCell ref="S155:V155"/>
    <mergeCell ref="D156:I156"/>
    <mergeCell ref="J156:K156"/>
    <mergeCell ref="L156:N156"/>
    <mergeCell ref="O156:R156"/>
    <mergeCell ref="S156:V156"/>
    <mergeCell ref="B170:C170"/>
    <mergeCell ref="D170:I170"/>
    <mergeCell ref="J170:K170"/>
    <mergeCell ref="L170:N170"/>
    <mergeCell ref="O170:R170"/>
    <mergeCell ref="S170:V170"/>
    <mergeCell ref="C167:E167"/>
    <mergeCell ref="G167:L167"/>
    <mergeCell ref="N167:U167"/>
    <mergeCell ref="C168:D169"/>
    <mergeCell ref="E168:J169"/>
    <mergeCell ref="K168:L168"/>
    <mergeCell ref="N168:P168"/>
    <mergeCell ref="K169:L169"/>
    <mergeCell ref="N169:P169"/>
    <mergeCell ref="R169:S169"/>
    <mergeCell ref="B160:G160"/>
    <mergeCell ref="H160:L160"/>
    <mergeCell ref="M160:O160"/>
    <mergeCell ref="P160:R160"/>
    <mergeCell ref="S160:V160"/>
    <mergeCell ref="B161:H161"/>
    <mergeCell ref="I161:R161"/>
    <mergeCell ref="S161:V161"/>
    <mergeCell ref="B176:G176"/>
    <mergeCell ref="H176:L176"/>
    <mergeCell ref="M176:O176"/>
    <mergeCell ref="P176:R176"/>
    <mergeCell ref="S176:V176"/>
    <mergeCell ref="B177:H177"/>
    <mergeCell ref="I177:R177"/>
    <mergeCell ref="S177:V177"/>
    <mergeCell ref="B173:H173"/>
    <mergeCell ref="I173:R173"/>
    <mergeCell ref="S173:V173"/>
    <mergeCell ref="B174:V174"/>
    <mergeCell ref="B175:H175"/>
    <mergeCell ref="I175:R175"/>
    <mergeCell ref="S175:V175"/>
    <mergeCell ref="D171:I171"/>
    <mergeCell ref="J171:K171"/>
    <mergeCell ref="L171:N171"/>
    <mergeCell ref="O171:R171"/>
    <mergeCell ref="S171:V171"/>
    <mergeCell ref="D172:I172"/>
    <mergeCell ref="J172:K172"/>
    <mergeCell ref="L172:N172"/>
    <mergeCell ref="O172:R172"/>
    <mergeCell ref="S172:V172"/>
    <mergeCell ref="D187:I187"/>
    <mergeCell ref="J187:K187"/>
    <mergeCell ref="L187:N187"/>
    <mergeCell ref="O187:R187"/>
    <mergeCell ref="S187:V187"/>
    <mergeCell ref="D188:I188"/>
    <mergeCell ref="J188:K188"/>
    <mergeCell ref="L188:N188"/>
    <mergeCell ref="O188:R188"/>
    <mergeCell ref="S188:V188"/>
    <mergeCell ref="B186:C186"/>
    <mergeCell ref="D186:I186"/>
    <mergeCell ref="J186:K186"/>
    <mergeCell ref="L186:N186"/>
    <mergeCell ref="O186:R186"/>
    <mergeCell ref="S186:V186"/>
    <mergeCell ref="C183:E183"/>
    <mergeCell ref="G183:L183"/>
    <mergeCell ref="N183:U183"/>
    <mergeCell ref="C184:D185"/>
    <mergeCell ref="E184:J185"/>
    <mergeCell ref="K184:L184"/>
    <mergeCell ref="N184:P184"/>
    <mergeCell ref="K185:L185"/>
    <mergeCell ref="N185:P185"/>
    <mergeCell ref="R185:S185"/>
    <mergeCell ref="D191:I191"/>
    <mergeCell ref="J191:K191"/>
    <mergeCell ref="L191:N191"/>
    <mergeCell ref="O191:R191"/>
    <mergeCell ref="S191:V191"/>
    <mergeCell ref="D192:I192"/>
    <mergeCell ref="J192:K192"/>
    <mergeCell ref="L192:N192"/>
    <mergeCell ref="O192:R192"/>
    <mergeCell ref="S192:V192"/>
    <mergeCell ref="D189:I189"/>
    <mergeCell ref="J189:K189"/>
    <mergeCell ref="L189:N189"/>
    <mergeCell ref="O189:R189"/>
    <mergeCell ref="S189:V189"/>
    <mergeCell ref="D190:I190"/>
    <mergeCell ref="J190:K190"/>
    <mergeCell ref="L190:N190"/>
    <mergeCell ref="O190:R190"/>
    <mergeCell ref="S190:V190"/>
    <mergeCell ref="B195:H195"/>
    <mergeCell ref="I195:R195"/>
    <mergeCell ref="S195:V195"/>
    <mergeCell ref="B196:V196"/>
    <mergeCell ref="B197:H197"/>
    <mergeCell ref="I197:R197"/>
    <mergeCell ref="S197:V197"/>
    <mergeCell ref="D193:I193"/>
    <mergeCell ref="J193:K193"/>
    <mergeCell ref="L193:N193"/>
    <mergeCell ref="O193:R193"/>
    <mergeCell ref="S193:V193"/>
    <mergeCell ref="D194:I194"/>
    <mergeCell ref="J194:K194"/>
    <mergeCell ref="L194:N194"/>
    <mergeCell ref="O194:R194"/>
    <mergeCell ref="S194:V194"/>
    <mergeCell ref="B207:C207"/>
    <mergeCell ref="D207:I207"/>
    <mergeCell ref="J207:K207"/>
    <mergeCell ref="L207:N207"/>
    <mergeCell ref="O207:R207"/>
    <mergeCell ref="S207:V207"/>
    <mergeCell ref="C204:E204"/>
    <mergeCell ref="G204:L204"/>
    <mergeCell ref="N204:U204"/>
    <mergeCell ref="C205:D206"/>
    <mergeCell ref="E205:J206"/>
    <mergeCell ref="K205:L205"/>
    <mergeCell ref="N205:P205"/>
    <mergeCell ref="K206:L206"/>
    <mergeCell ref="N206:P206"/>
    <mergeCell ref="R206:S206"/>
    <mergeCell ref="B198:G198"/>
    <mergeCell ref="H198:L198"/>
    <mergeCell ref="M198:O198"/>
    <mergeCell ref="P198:R198"/>
    <mergeCell ref="S198:V198"/>
    <mergeCell ref="B199:H199"/>
    <mergeCell ref="I199:R199"/>
    <mergeCell ref="S199:V199"/>
    <mergeCell ref="D210:I210"/>
    <mergeCell ref="J210:K210"/>
    <mergeCell ref="L210:N210"/>
    <mergeCell ref="O210:R210"/>
    <mergeCell ref="S210:V210"/>
    <mergeCell ref="D211:I211"/>
    <mergeCell ref="J211:K211"/>
    <mergeCell ref="L211:N211"/>
    <mergeCell ref="O211:R211"/>
    <mergeCell ref="S211:V211"/>
    <mergeCell ref="D208:I208"/>
    <mergeCell ref="J208:K208"/>
    <mergeCell ref="L208:N208"/>
    <mergeCell ref="O208:R208"/>
    <mergeCell ref="S208:V208"/>
    <mergeCell ref="D209:I209"/>
    <mergeCell ref="J209:K209"/>
    <mergeCell ref="L209:N209"/>
    <mergeCell ref="O209:R209"/>
    <mergeCell ref="S209:V209"/>
    <mergeCell ref="D214:I214"/>
    <mergeCell ref="J214:K214"/>
    <mergeCell ref="L214:N214"/>
    <mergeCell ref="O214:R214"/>
    <mergeCell ref="S214:V214"/>
    <mergeCell ref="D215:I215"/>
    <mergeCell ref="J215:K215"/>
    <mergeCell ref="L215:N215"/>
    <mergeCell ref="O215:R215"/>
    <mergeCell ref="S215:V215"/>
    <mergeCell ref="D212:I212"/>
    <mergeCell ref="J212:K212"/>
    <mergeCell ref="L212:N212"/>
    <mergeCell ref="O212:R212"/>
    <mergeCell ref="S212:V212"/>
    <mergeCell ref="D213:I213"/>
    <mergeCell ref="J213:K213"/>
    <mergeCell ref="L213:N213"/>
    <mergeCell ref="O213:R213"/>
    <mergeCell ref="S213:V213"/>
    <mergeCell ref="D218:I218"/>
    <mergeCell ref="J218:K218"/>
    <mergeCell ref="L218:N218"/>
    <mergeCell ref="O218:R218"/>
    <mergeCell ref="S218:V218"/>
    <mergeCell ref="D219:I219"/>
    <mergeCell ref="J219:K219"/>
    <mergeCell ref="L219:N219"/>
    <mergeCell ref="O219:R219"/>
    <mergeCell ref="S219:V219"/>
    <mergeCell ref="D216:I216"/>
    <mergeCell ref="J216:K216"/>
    <mergeCell ref="L216:N216"/>
    <mergeCell ref="O216:R216"/>
    <mergeCell ref="S216:V216"/>
    <mergeCell ref="D217:I217"/>
    <mergeCell ref="J217:K217"/>
    <mergeCell ref="L217:N217"/>
    <mergeCell ref="O217:R217"/>
    <mergeCell ref="S217:V217"/>
    <mergeCell ref="B225:H225"/>
    <mergeCell ref="I225:R225"/>
    <mergeCell ref="S225:V225"/>
    <mergeCell ref="C254:E254"/>
    <mergeCell ref="G254:L254"/>
    <mergeCell ref="N254:U254"/>
    <mergeCell ref="B222:V222"/>
    <mergeCell ref="B223:H223"/>
    <mergeCell ref="I223:R223"/>
    <mergeCell ref="S223:V223"/>
    <mergeCell ref="B224:G224"/>
    <mergeCell ref="H224:L224"/>
    <mergeCell ref="M224:O224"/>
    <mergeCell ref="P224:R224"/>
    <mergeCell ref="S224:V224"/>
    <mergeCell ref="D220:I220"/>
    <mergeCell ref="J220:K220"/>
    <mergeCell ref="L220:N220"/>
    <mergeCell ref="O220:R220"/>
    <mergeCell ref="S220:V220"/>
    <mergeCell ref="B221:H221"/>
    <mergeCell ref="I221:R221"/>
    <mergeCell ref="S221:V221"/>
    <mergeCell ref="C229:E229"/>
    <mergeCell ref="G229:L229"/>
    <mergeCell ref="N229:U229"/>
    <mergeCell ref="C230:D231"/>
    <mergeCell ref="E230:J231"/>
    <mergeCell ref="K230:L230"/>
    <mergeCell ref="N230:P230"/>
    <mergeCell ref="K231:L231"/>
    <mergeCell ref="N231:P231"/>
    <mergeCell ref="D258:I258"/>
    <mergeCell ref="J258:K258"/>
    <mergeCell ref="L258:N258"/>
    <mergeCell ref="O258:R258"/>
    <mergeCell ref="S258:V258"/>
    <mergeCell ref="D259:I259"/>
    <mergeCell ref="J259:K259"/>
    <mergeCell ref="L259:N259"/>
    <mergeCell ref="O259:R259"/>
    <mergeCell ref="S259:V259"/>
    <mergeCell ref="R256:S256"/>
    <mergeCell ref="B257:C257"/>
    <mergeCell ref="D257:I257"/>
    <mergeCell ref="J257:K257"/>
    <mergeCell ref="L257:N257"/>
    <mergeCell ref="O257:R257"/>
    <mergeCell ref="S257:V257"/>
    <mergeCell ref="C255:D256"/>
    <mergeCell ref="E255:J256"/>
    <mergeCell ref="K255:L255"/>
    <mergeCell ref="N255:P255"/>
    <mergeCell ref="K256:L256"/>
    <mergeCell ref="N256:P256"/>
    <mergeCell ref="D262:I262"/>
    <mergeCell ref="J262:K262"/>
    <mergeCell ref="L262:N262"/>
    <mergeCell ref="O262:R262"/>
    <mergeCell ref="S262:V262"/>
    <mergeCell ref="D263:I263"/>
    <mergeCell ref="J263:K263"/>
    <mergeCell ref="L263:N263"/>
    <mergeCell ref="O263:R263"/>
    <mergeCell ref="S263:V263"/>
    <mergeCell ref="D260:I260"/>
    <mergeCell ref="J260:K260"/>
    <mergeCell ref="L260:N260"/>
    <mergeCell ref="O260:R260"/>
    <mergeCell ref="S260:V260"/>
    <mergeCell ref="D261:I261"/>
    <mergeCell ref="J261:K261"/>
    <mergeCell ref="L261:N261"/>
    <mergeCell ref="O261:R261"/>
    <mergeCell ref="S261:V261"/>
    <mergeCell ref="B266:H266"/>
    <mergeCell ref="I266:R266"/>
    <mergeCell ref="S266:V266"/>
    <mergeCell ref="B267:V267"/>
    <mergeCell ref="B268:H268"/>
    <mergeCell ref="I268:R268"/>
    <mergeCell ref="S268:V268"/>
    <mergeCell ref="D264:I264"/>
    <mergeCell ref="J264:K264"/>
    <mergeCell ref="L264:N264"/>
    <mergeCell ref="O264:R264"/>
    <mergeCell ref="S264:V264"/>
    <mergeCell ref="D265:I265"/>
    <mergeCell ref="J265:K265"/>
    <mergeCell ref="L265:N265"/>
    <mergeCell ref="O265:R265"/>
    <mergeCell ref="S265:V265"/>
    <mergeCell ref="B278:C278"/>
    <mergeCell ref="D278:I278"/>
    <mergeCell ref="J278:K278"/>
    <mergeCell ref="L278:N278"/>
    <mergeCell ref="O278:R278"/>
    <mergeCell ref="S278:V278"/>
    <mergeCell ref="C275:E275"/>
    <mergeCell ref="G275:L275"/>
    <mergeCell ref="N275:U275"/>
    <mergeCell ref="C276:D277"/>
    <mergeCell ref="E276:J277"/>
    <mergeCell ref="K276:L276"/>
    <mergeCell ref="N276:P276"/>
    <mergeCell ref="K277:L277"/>
    <mergeCell ref="N277:P277"/>
    <mergeCell ref="R277:S277"/>
    <mergeCell ref="B269:G269"/>
    <mergeCell ref="H269:L269"/>
    <mergeCell ref="M269:O269"/>
    <mergeCell ref="P269:R269"/>
    <mergeCell ref="S269:V269"/>
    <mergeCell ref="B270:H270"/>
    <mergeCell ref="I270:R270"/>
    <mergeCell ref="S270:V270"/>
    <mergeCell ref="D281:I281"/>
    <mergeCell ref="J281:K281"/>
    <mergeCell ref="L281:N281"/>
    <mergeCell ref="O281:R281"/>
    <mergeCell ref="S281:V281"/>
    <mergeCell ref="D282:I282"/>
    <mergeCell ref="J282:K282"/>
    <mergeCell ref="L282:N282"/>
    <mergeCell ref="O282:R282"/>
    <mergeCell ref="S282:V282"/>
    <mergeCell ref="D279:I279"/>
    <mergeCell ref="J279:K279"/>
    <mergeCell ref="L279:N279"/>
    <mergeCell ref="O279:R279"/>
    <mergeCell ref="S279:V279"/>
    <mergeCell ref="D280:I280"/>
    <mergeCell ref="J280:K280"/>
    <mergeCell ref="L280:N280"/>
    <mergeCell ref="O280:R280"/>
    <mergeCell ref="S280:V280"/>
    <mergeCell ref="B288:H288"/>
    <mergeCell ref="I288:R288"/>
    <mergeCell ref="S288:V288"/>
    <mergeCell ref="C293:E293"/>
    <mergeCell ref="G293:L293"/>
    <mergeCell ref="N293:U293"/>
    <mergeCell ref="B285:V285"/>
    <mergeCell ref="B286:H286"/>
    <mergeCell ref="I286:R286"/>
    <mergeCell ref="S286:V286"/>
    <mergeCell ref="B287:G287"/>
    <mergeCell ref="H287:L287"/>
    <mergeCell ref="M287:O287"/>
    <mergeCell ref="P287:R287"/>
    <mergeCell ref="S287:V287"/>
    <mergeCell ref="D283:I283"/>
    <mergeCell ref="J283:K283"/>
    <mergeCell ref="L283:N283"/>
    <mergeCell ref="O283:R283"/>
    <mergeCell ref="S283:V283"/>
    <mergeCell ref="B284:H284"/>
    <mergeCell ref="I284:R284"/>
    <mergeCell ref="S284:V284"/>
    <mergeCell ref="D297:I297"/>
    <mergeCell ref="J297:K297"/>
    <mergeCell ref="L297:N297"/>
    <mergeCell ref="O297:R297"/>
    <mergeCell ref="S297:V297"/>
    <mergeCell ref="D298:I298"/>
    <mergeCell ref="J298:K298"/>
    <mergeCell ref="L298:N298"/>
    <mergeCell ref="O298:R298"/>
    <mergeCell ref="S298:V298"/>
    <mergeCell ref="R295:S295"/>
    <mergeCell ref="B296:C296"/>
    <mergeCell ref="D296:I296"/>
    <mergeCell ref="J296:K296"/>
    <mergeCell ref="L296:N296"/>
    <mergeCell ref="O296:R296"/>
    <mergeCell ref="S296:V296"/>
    <mergeCell ref="C294:D295"/>
    <mergeCell ref="E294:J295"/>
    <mergeCell ref="K294:L294"/>
    <mergeCell ref="N294:P294"/>
    <mergeCell ref="K295:L295"/>
    <mergeCell ref="N295:P295"/>
    <mergeCell ref="D301:I301"/>
    <mergeCell ref="J301:K301"/>
    <mergeCell ref="L301:N301"/>
    <mergeCell ref="O301:R301"/>
    <mergeCell ref="S301:V301"/>
    <mergeCell ref="D302:I302"/>
    <mergeCell ref="J302:K302"/>
    <mergeCell ref="L302:N302"/>
    <mergeCell ref="O302:R302"/>
    <mergeCell ref="S302:V302"/>
    <mergeCell ref="D299:I299"/>
    <mergeCell ref="J299:K299"/>
    <mergeCell ref="L299:N299"/>
    <mergeCell ref="O299:R299"/>
    <mergeCell ref="S299:V299"/>
    <mergeCell ref="D300:I300"/>
    <mergeCell ref="J300:K300"/>
    <mergeCell ref="L300:N300"/>
    <mergeCell ref="O300:R300"/>
    <mergeCell ref="S300:V300"/>
    <mergeCell ref="D305:I305"/>
    <mergeCell ref="J305:K305"/>
    <mergeCell ref="L305:N305"/>
    <mergeCell ref="O305:R305"/>
    <mergeCell ref="S305:V305"/>
    <mergeCell ref="D306:I306"/>
    <mergeCell ref="J306:K306"/>
    <mergeCell ref="L306:N306"/>
    <mergeCell ref="O306:R306"/>
    <mergeCell ref="S306:V306"/>
    <mergeCell ref="D303:I303"/>
    <mergeCell ref="J303:K303"/>
    <mergeCell ref="L303:N303"/>
    <mergeCell ref="O303:R303"/>
    <mergeCell ref="S303:V303"/>
    <mergeCell ref="D304:I304"/>
    <mergeCell ref="J304:K304"/>
    <mergeCell ref="L304:N304"/>
    <mergeCell ref="O304:R304"/>
    <mergeCell ref="S304:V304"/>
    <mergeCell ref="B309:V309"/>
    <mergeCell ref="B310:H310"/>
    <mergeCell ref="I310:R310"/>
    <mergeCell ref="S310:V310"/>
    <mergeCell ref="B311:G311"/>
    <mergeCell ref="H311:L311"/>
    <mergeCell ref="M311:O311"/>
    <mergeCell ref="P311:R311"/>
    <mergeCell ref="S311:V311"/>
    <mergeCell ref="D307:I307"/>
    <mergeCell ref="J307:K307"/>
    <mergeCell ref="L307:N307"/>
    <mergeCell ref="O307:R307"/>
    <mergeCell ref="S307:V307"/>
    <mergeCell ref="B308:H308"/>
    <mergeCell ref="I308:R308"/>
    <mergeCell ref="S308:V308"/>
    <mergeCell ref="R319:S319"/>
    <mergeCell ref="B320:C320"/>
    <mergeCell ref="D320:I320"/>
    <mergeCell ref="J320:K320"/>
    <mergeCell ref="L320:N320"/>
    <mergeCell ref="O320:R320"/>
    <mergeCell ref="S320:V320"/>
    <mergeCell ref="C318:D319"/>
    <mergeCell ref="E318:J319"/>
    <mergeCell ref="K318:L318"/>
    <mergeCell ref="N318:P318"/>
    <mergeCell ref="K319:L319"/>
    <mergeCell ref="N319:P319"/>
    <mergeCell ref="B312:H312"/>
    <mergeCell ref="I312:R312"/>
    <mergeCell ref="S312:V312"/>
    <mergeCell ref="C317:E317"/>
    <mergeCell ref="G317:L317"/>
    <mergeCell ref="N317:U317"/>
    <mergeCell ref="B323:V323"/>
    <mergeCell ref="B324:H324"/>
    <mergeCell ref="I324:R324"/>
    <mergeCell ref="S324:V324"/>
    <mergeCell ref="B325:G325"/>
    <mergeCell ref="H325:L325"/>
    <mergeCell ref="M325:O325"/>
    <mergeCell ref="P325:R325"/>
    <mergeCell ref="S325:V325"/>
    <mergeCell ref="D321:I321"/>
    <mergeCell ref="J321:K321"/>
    <mergeCell ref="L321:N321"/>
    <mergeCell ref="O321:R321"/>
    <mergeCell ref="S321:V321"/>
    <mergeCell ref="B322:H322"/>
    <mergeCell ref="I322:R322"/>
    <mergeCell ref="S322:V322"/>
    <mergeCell ref="R334:S334"/>
    <mergeCell ref="B335:C335"/>
    <mergeCell ref="D335:I335"/>
    <mergeCell ref="J335:K335"/>
    <mergeCell ref="L335:N335"/>
    <mergeCell ref="O335:R335"/>
    <mergeCell ref="S335:V335"/>
    <mergeCell ref="C333:D334"/>
    <mergeCell ref="E333:J334"/>
    <mergeCell ref="K333:L333"/>
    <mergeCell ref="N333:P333"/>
    <mergeCell ref="K334:L334"/>
    <mergeCell ref="N334:P334"/>
    <mergeCell ref="B326:H326"/>
    <mergeCell ref="I326:R326"/>
    <mergeCell ref="S326:V326"/>
    <mergeCell ref="C332:E332"/>
    <mergeCell ref="G332:L332"/>
    <mergeCell ref="N332:U332"/>
    <mergeCell ref="B341:H341"/>
    <mergeCell ref="I341:R341"/>
    <mergeCell ref="S341:V341"/>
    <mergeCell ref="C347:E347"/>
    <mergeCell ref="G347:L347"/>
    <mergeCell ref="N347:U347"/>
    <mergeCell ref="B338:V338"/>
    <mergeCell ref="B339:H339"/>
    <mergeCell ref="I339:R339"/>
    <mergeCell ref="S339:V339"/>
    <mergeCell ref="B340:G340"/>
    <mergeCell ref="H340:L340"/>
    <mergeCell ref="M340:O340"/>
    <mergeCell ref="P340:R340"/>
    <mergeCell ref="S340:V340"/>
    <mergeCell ref="D336:I336"/>
    <mergeCell ref="J336:K336"/>
    <mergeCell ref="L336:N336"/>
    <mergeCell ref="O336:R336"/>
    <mergeCell ref="S336:V336"/>
    <mergeCell ref="B337:H337"/>
    <mergeCell ref="I337:R337"/>
    <mergeCell ref="S337:V337"/>
    <mergeCell ref="D351:I351"/>
    <mergeCell ref="J351:K351"/>
    <mergeCell ref="L351:N351"/>
    <mergeCell ref="O351:R351"/>
    <mergeCell ref="S351:V351"/>
    <mergeCell ref="D352:I352"/>
    <mergeCell ref="J352:K352"/>
    <mergeCell ref="L352:N352"/>
    <mergeCell ref="O352:R352"/>
    <mergeCell ref="S352:V352"/>
    <mergeCell ref="R349:S349"/>
    <mergeCell ref="B350:C350"/>
    <mergeCell ref="D350:I350"/>
    <mergeCell ref="J350:K350"/>
    <mergeCell ref="L350:N350"/>
    <mergeCell ref="O350:R350"/>
    <mergeCell ref="S350:V350"/>
    <mergeCell ref="C348:D349"/>
    <mergeCell ref="E348:J349"/>
    <mergeCell ref="K348:L348"/>
    <mergeCell ref="N348:P348"/>
    <mergeCell ref="K349:L349"/>
    <mergeCell ref="N349:P349"/>
    <mergeCell ref="D355:I355"/>
    <mergeCell ref="J355:K355"/>
    <mergeCell ref="L355:N355"/>
    <mergeCell ref="O355:R355"/>
    <mergeCell ref="S355:V355"/>
    <mergeCell ref="D356:I356"/>
    <mergeCell ref="J356:K356"/>
    <mergeCell ref="L356:N356"/>
    <mergeCell ref="O356:R356"/>
    <mergeCell ref="S356:V356"/>
    <mergeCell ref="D353:I353"/>
    <mergeCell ref="J353:K353"/>
    <mergeCell ref="L353:N353"/>
    <mergeCell ref="O353:R353"/>
    <mergeCell ref="S353:V353"/>
    <mergeCell ref="D354:I354"/>
    <mergeCell ref="J354:K354"/>
    <mergeCell ref="L354:N354"/>
    <mergeCell ref="O354:R354"/>
    <mergeCell ref="S354:V354"/>
    <mergeCell ref="B362:H362"/>
    <mergeCell ref="I362:R362"/>
    <mergeCell ref="S362:V362"/>
    <mergeCell ref="C367:E367"/>
    <mergeCell ref="G367:L367"/>
    <mergeCell ref="N367:U367"/>
    <mergeCell ref="B359:V359"/>
    <mergeCell ref="B360:H360"/>
    <mergeCell ref="I360:R360"/>
    <mergeCell ref="S360:V360"/>
    <mergeCell ref="B361:G361"/>
    <mergeCell ref="H361:L361"/>
    <mergeCell ref="M361:O361"/>
    <mergeCell ref="P361:R361"/>
    <mergeCell ref="S361:V361"/>
    <mergeCell ref="D357:I357"/>
    <mergeCell ref="J357:K357"/>
    <mergeCell ref="L357:N357"/>
    <mergeCell ref="O357:R357"/>
    <mergeCell ref="S357:V357"/>
    <mergeCell ref="B358:H358"/>
    <mergeCell ref="I358:R358"/>
    <mergeCell ref="S358:V358"/>
    <mergeCell ref="D371:I371"/>
    <mergeCell ref="J371:K371"/>
    <mergeCell ref="L371:N371"/>
    <mergeCell ref="O371:R371"/>
    <mergeCell ref="S371:V371"/>
    <mergeCell ref="D372:I372"/>
    <mergeCell ref="J372:K372"/>
    <mergeCell ref="L372:N372"/>
    <mergeCell ref="O372:R372"/>
    <mergeCell ref="S372:V372"/>
    <mergeCell ref="R369:S369"/>
    <mergeCell ref="B370:C370"/>
    <mergeCell ref="D370:I370"/>
    <mergeCell ref="J370:K370"/>
    <mergeCell ref="L370:N370"/>
    <mergeCell ref="O370:R370"/>
    <mergeCell ref="S370:V370"/>
    <mergeCell ref="C368:D369"/>
    <mergeCell ref="E368:J369"/>
    <mergeCell ref="K368:L368"/>
    <mergeCell ref="N368:P368"/>
    <mergeCell ref="K369:L369"/>
    <mergeCell ref="N369:P369"/>
    <mergeCell ref="B375:V375"/>
    <mergeCell ref="B376:H376"/>
    <mergeCell ref="I376:R376"/>
    <mergeCell ref="S376:V376"/>
    <mergeCell ref="B377:G377"/>
    <mergeCell ref="H377:L377"/>
    <mergeCell ref="M377:O377"/>
    <mergeCell ref="P377:R377"/>
    <mergeCell ref="S377:V377"/>
    <mergeCell ref="D373:I373"/>
    <mergeCell ref="J373:K373"/>
    <mergeCell ref="L373:N373"/>
    <mergeCell ref="O373:R373"/>
    <mergeCell ref="S373:V373"/>
    <mergeCell ref="B374:H374"/>
    <mergeCell ref="I374:R374"/>
    <mergeCell ref="S374:V374"/>
    <mergeCell ref="R385:S385"/>
    <mergeCell ref="B386:C386"/>
    <mergeCell ref="D386:I386"/>
    <mergeCell ref="J386:K386"/>
    <mergeCell ref="L386:N386"/>
    <mergeCell ref="O386:R386"/>
    <mergeCell ref="S386:V386"/>
    <mergeCell ref="C384:D385"/>
    <mergeCell ref="E384:J385"/>
    <mergeCell ref="K384:L384"/>
    <mergeCell ref="N384:P384"/>
    <mergeCell ref="K385:L385"/>
    <mergeCell ref="N385:P385"/>
    <mergeCell ref="B378:H378"/>
    <mergeCell ref="I378:R378"/>
    <mergeCell ref="S378:V378"/>
    <mergeCell ref="C383:E383"/>
    <mergeCell ref="G383:L383"/>
    <mergeCell ref="N383:U383"/>
    <mergeCell ref="D389:I389"/>
    <mergeCell ref="J389:K389"/>
    <mergeCell ref="L389:N389"/>
    <mergeCell ref="O389:R389"/>
    <mergeCell ref="S389:V389"/>
    <mergeCell ref="D390:I390"/>
    <mergeCell ref="J390:K390"/>
    <mergeCell ref="L390:N390"/>
    <mergeCell ref="O390:R390"/>
    <mergeCell ref="S390:V390"/>
    <mergeCell ref="D387:I387"/>
    <mergeCell ref="J387:K387"/>
    <mergeCell ref="L387:N387"/>
    <mergeCell ref="O387:R387"/>
    <mergeCell ref="S387:V387"/>
    <mergeCell ref="D388:I388"/>
    <mergeCell ref="J388:K388"/>
    <mergeCell ref="L388:N388"/>
    <mergeCell ref="O388:R388"/>
    <mergeCell ref="S388:V388"/>
    <mergeCell ref="B393:H393"/>
    <mergeCell ref="I393:R393"/>
    <mergeCell ref="S393:V393"/>
    <mergeCell ref="B394:V394"/>
    <mergeCell ref="B395:H395"/>
    <mergeCell ref="I395:R395"/>
    <mergeCell ref="S395:V395"/>
    <mergeCell ref="D391:I391"/>
    <mergeCell ref="J391:K391"/>
    <mergeCell ref="L391:N391"/>
    <mergeCell ref="O391:R391"/>
    <mergeCell ref="S391:V391"/>
    <mergeCell ref="D392:I392"/>
    <mergeCell ref="J392:K392"/>
    <mergeCell ref="L392:N392"/>
    <mergeCell ref="O392:R392"/>
    <mergeCell ref="S392:V392"/>
    <mergeCell ref="B405:C405"/>
    <mergeCell ref="D405:I405"/>
    <mergeCell ref="J405:K405"/>
    <mergeCell ref="L405:N405"/>
    <mergeCell ref="O405:R405"/>
    <mergeCell ref="S405:V405"/>
    <mergeCell ref="C402:E402"/>
    <mergeCell ref="G402:L402"/>
    <mergeCell ref="N402:U402"/>
    <mergeCell ref="C403:D404"/>
    <mergeCell ref="E403:J404"/>
    <mergeCell ref="K403:L403"/>
    <mergeCell ref="N403:P403"/>
    <mergeCell ref="K404:L404"/>
    <mergeCell ref="N404:P404"/>
    <mergeCell ref="R404:S404"/>
    <mergeCell ref="B396:G396"/>
    <mergeCell ref="H396:L396"/>
    <mergeCell ref="M396:O396"/>
    <mergeCell ref="P396:R396"/>
    <mergeCell ref="S396:V396"/>
    <mergeCell ref="B397:H397"/>
    <mergeCell ref="I397:R397"/>
    <mergeCell ref="S397:V397"/>
    <mergeCell ref="D408:I408"/>
    <mergeCell ref="J408:K408"/>
    <mergeCell ref="L408:N408"/>
    <mergeCell ref="O408:R408"/>
    <mergeCell ref="S408:V408"/>
    <mergeCell ref="D409:I409"/>
    <mergeCell ref="J409:K409"/>
    <mergeCell ref="L409:N409"/>
    <mergeCell ref="O409:R409"/>
    <mergeCell ref="S409:V409"/>
    <mergeCell ref="D406:I406"/>
    <mergeCell ref="J406:K406"/>
    <mergeCell ref="L406:N406"/>
    <mergeCell ref="O406:R406"/>
    <mergeCell ref="S406:V406"/>
    <mergeCell ref="D407:I407"/>
    <mergeCell ref="J407:K407"/>
    <mergeCell ref="L407:N407"/>
    <mergeCell ref="O407:R407"/>
    <mergeCell ref="S407:V407"/>
    <mergeCell ref="B415:H415"/>
    <mergeCell ref="I415:R415"/>
    <mergeCell ref="S415:V415"/>
    <mergeCell ref="C420:E420"/>
    <mergeCell ref="G420:L420"/>
    <mergeCell ref="N420:U420"/>
    <mergeCell ref="B412:V412"/>
    <mergeCell ref="B413:H413"/>
    <mergeCell ref="I413:R413"/>
    <mergeCell ref="S413:V413"/>
    <mergeCell ref="B414:G414"/>
    <mergeCell ref="H414:L414"/>
    <mergeCell ref="M414:O414"/>
    <mergeCell ref="P414:R414"/>
    <mergeCell ref="S414:V414"/>
    <mergeCell ref="D410:I410"/>
    <mergeCell ref="J410:K410"/>
    <mergeCell ref="L410:N410"/>
    <mergeCell ref="O410:R410"/>
    <mergeCell ref="S410:V410"/>
    <mergeCell ref="B411:H411"/>
    <mergeCell ref="I411:R411"/>
    <mergeCell ref="S411:V411"/>
    <mergeCell ref="D424:I424"/>
    <mergeCell ref="J424:K424"/>
    <mergeCell ref="L424:N424"/>
    <mergeCell ref="O424:R424"/>
    <mergeCell ref="S424:V424"/>
    <mergeCell ref="D425:I425"/>
    <mergeCell ref="J425:K425"/>
    <mergeCell ref="L425:N425"/>
    <mergeCell ref="O425:R425"/>
    <mergeCell ref="S425:V425"/>
    <mergeCell ref="R422:S422"/>
    <mergeCell ref="B423:C423"/>
    <mergeCell ref="D423:I423"/>
    <mergeCell ref="J423:K423"/>
    <mergeCell ref="L423:N423"/>
    <mergeCell ref="O423:R423"/>
    <mergeCell ref="S423:V423"/>
    <mergeCell ref="C421:D422"/>
    <mergeCell ref="E421:J422"/>
    <mergeCell ref="K421:L421"/>
    <mergeCell ref="N421:P421"/>
    <mergeCell ref="K422:L422"/>
    <mergeCell ref="N422:P422"/>
    <mergeCell ref="B428:H428"/>
    <mergeCell ref="I428:R428"/>
    <mergeCell ref="S428:V428"/>
    <mergeCell ref="B429:V429"/>
    <mergeCell ref="B430:H430"/>
    <mergeCell ref="I430:R430"/>
    <mergeCell ref="S430:V430"/>
    <mergeCell ref="D426:I426"/>
    <mergeCell ref="J426:K426"/>
    <mergeCell ref="L426:N426"/>
    <mergeCell ref="O426:R426"/>
    <mergeCell ref="S426:V426"/>
    <mergeCell ref="D427:I427"/>
    <mergeCell ref="J427:K427"/>
    <mergeCell ref="L427:N427"/>
    <mergeCell ref="O427:R427"/>
    <mergeCell ref="S427:V427"/>
    <mergeCell ref="B440:C440"/>
    <mergeCell ref="D440:I440"/>
    <mergeCell ref="J440:K440"/>
    <mergeCell ref="L440:N440"/>
    <mergeCell ref="O440:R440"/>
    <mergeCell ref="S440:V440"/>
    <mergeCell ref="C437:E437"/>
    <mergeCell ref="G437:L437"/>
    <mergeCell ref="N437:U437"/>
    <mergeCell ref="C438:D439"/>
    <mergeCell ref="E438:J439"/>
    <mergeCell ref="K438:L438"/>
    <mergeCell ref="N438:P438"/>
    <mergeCell ref="K439:L439"/>
    <mergeCell ref="N439:P439"/>
    <mergeCell ref="R439:S439"/>
    <mergeCell ref="B431:G431"/>
    <mergeCell ref="H431:L431"/>
    <mergeCell ref="M431:O431"/>
    <mergeCell ref="P431:R431"/>
    <mergeCell ref="S431:V431"/>
    <mergeCell ref="B432:H432"/>
    <mergeCell ref="I432:R432"/>
    <mergeCell ref="S432:V432"/>
    <mergeCell ref="D443:I443"/>
    <mergeCell ref="J443:K443"/>
    <mergeCell ref="L443:N443"/>
    <mergeCell ref="O443:R443"/>
    <mergeCell ref="S443:V443"/>
    <mergeCell ref="D444:I444"/>
    <mergeCell ref="J444:K444"/>
    <mergeCell ref="L444:N444"/>
    <mergeCell ref="O444:R444"/>
    <mergeCell ref="S444:V444"/>
    <mergeCell ref="D441:I441"/>
    <mergeCell ref="J441:K441"/>
    <mergeCell ref="L441:N441"/>
    <mergeCell ref="O441:R441"/>
    <mergeCell ref="S441:V441"/>
    <mergeCell ref="D442:I442"/>
    <mergeCell ref="J442:K442"/>
    <mergeCell ref="L442:N442"/>
    <mergeCell ref="O442:R442"/>
    <mergeCell ref="S442:V442"/>
    <mergeCell ref="B450:H450"/>
    <mergeCell ref="I450:R450"/>
    <mergeCell ref="S450:V450"/>
    <mergeCell ref="C455:E455"/>
    <mergeCell ref="G455:L455"/>
    <mergeCell ref="N455:U455"/>
    <mergeCell ref="B447:V447"/>
    <mergeCell ref="B448:H448"/>
    <mergeCell ref="I448:R448"/>
    <mergeCell ref="S448:V448"/>
    <mergeCell ref="B449:G449"/>
    <mergeCell ref="H449:L449"/>
    <mergeCell ref="M449:O449"/>
    <mergeCell ref="P449:R449"/>
    <mergeCell ref="S449:V449"/>
    <mergeCell ref="D445:I445"/>
    <mergeCell ref="J445:K445"/>
    <mergeCell ref="L445:N445"/>
    <mergeCell ref="O445:R445"/>
    <mergeCell ref="S445:V445"/>
    <mergeCell ref="B446:H446"/>
    <mergeCell ref="I446:R446"/>
    <mergeCell ref="S446:V446"/>
    <mergeCell ref="D459:I459"/>
    <mergeCell ref="J459:K459"/>
    <mergeCell ref="L459:N459"/>
    <mergeCell ref="O459:R459"/>
    <mergeCell ref="S459:V459"/>
    <mergeCell ref="D460:I460"/>
    <mergeCell ref="J460:K460"/>
    <mergeCell ref="L460:N460"/>
    <mergeCell ref="O460:R460"/>
    <mergeCell ref="S460:V460"/>
    <mergeCell ref="R457:S457"/>
    <mergeCell ref="B458:C458"/>
    <mergeCell ref="D458:I458"/>
    <mergeCell ref="J458:K458"/>
    <mergeCell ref="L458:N458"/>
    <mergeCell ref="O458:R458"/>
    <mergeCell ref="S458:V458"/>
    <mergeCell ref="C456:D457"/>
    <mergeCell ref="E456:J457"/>
    <mergeCell ref="K456:L456"/>
    <mergeCell ref="N456:P456"/>
    <mergeCell ref="K457:L457"/>
    <mergeCell ref="N457:P457"/>
    <mergeCell ref="B463:V463"/>
    <mergeCell ref="B464:H464"/>
    <mergeCell ref="I464:R464"/>
    <mergeCell ref="S464:V464"/>
    <mergeCell ref="B465:G465"/>
    <mergeCell ref="H465:L465"/>
    <mergeCell ref="M465:O465"/>
    <mergeCell ref="P465:R465"/>
    <mergeCell ref="S465:V465"/>
    <mergeCell ref="D461:I461"/>
    <mergeCell ref="J461:K461"/>
    <mergeCell ref="L461:N461"/>
    <mergeCell ref="O461:R461"/>
    <mergeCell ref="S461:V461"/>
    <mergeCell ref="B462:H462"/>
    <mergeCell ref="I462:R462"/>
    <mergeCell ref="S462:V462"/>
    <mergeCell ref="R473:S473"/>
    <mergeCell ref="B474:C474"/>
    <mergeCell ref="D474:I474"/>
    <mergeCell ref="J474:K474"/>
    <mergeCell ref="L474:N474"/>
    <mergeCell ref="O474:R474"/>
    <mergeCell ref="S474:V474"/>
    <mergeCell ref="C472:D473"/>
    <mergeCell ref="E472:J473"/>
    <mergeCell ref="K472:L472"/>
    <mergeCell ref="N472:P472"/>
    <mergeCell ref="K473:L473"/>
    <mergeCell ref="N473:P473"/>
    <mergeCell ref="B466:H466"/>
    <mergeCell ref="I466:R466"/>
    <mergeCell ref="S466:V466"/>
    <mergeCell ref="C471:E471"/>
    <mergeCell ref="G471:L471"/>
    <mergeCell ref="N471:U471"/>
    <mergeCell ref="B477:H477"/>
    <mergeCell ref="I477:R477"/>
    <mergeCell ref="S477:V477"/>
    <mergeCell ref="B478:V478"/>
    <mergeCell ref="B479:H479"/>
    <mergeCell ref="I479:R479"/>
    <mergeCell ref="S479:V479"/>
    <mergeCell ref="D475:I475"/>
    <mergeCell ref="J475:K475"/>
    <mergeCell ref="L475:N475"/>
    <mergeCell ref="O475:R475"/>
    <mergeCell ref="S475:V475"/>
    <mergeCell ref="D476:I476"/>
    <mergeCell ref="J476:K476"/>
    <mergeCell ref="L476:N476"/>
    <mergeCell ref="O476:R476"/>
    <mergeCell ref="S476:V476"/>
    <mergeCell ref="B490:C490"/>
    <mergeCell ref="D490:I490"/>
    <mergeCell ref="J490:K490"/>
    <mergeCell ref="L490:N490"/>
    <mergeCell ref="O490:R490"/>
    <mergeCell ref="S490:V490"/>
    <mergeCell ref="C487:E487"/>
    <mergeCell ref="G487:L487"/>
    <mergeCell ref="N487:U487"/>
    <mergeCell ref="C488:D489"/>
    <mergeCell ref="E488:J489"/>
    <mergeCell ref="K488:L488"/>
    <mergeCell ref="N488:P488"/>
    <mergeCell ref="K489:L489"/>
    <mergeCell ref="N489:P489"/>
    <mergeCell ref="R489:S489"/>
    <mergeCell ref="B480:G480"/>
    <mergeCell ref="H480:L480"/>
    <mergeCell ref="M480:O480"/>
    <mergeCell ref="P480:R480"/>
    <mergeCell ref="S480:V480"/>
    <mergeCell ref="B481:H481"/>
    <mergeCell ref="I481:R481"/>
    <mergeCell ref="S481:V481"/>
    <mergeCell ref="D493:I493"/>
    <mergeCell ref="J493:K493"/>
    <mergeCell ref="L493:N493"/>
    <mergeCell ref="O493:R493"/>
    <mergeCell ref="S493:V493"/>
    <mergeCell ref="D494:I494"/>
    <mergeCell ref="J494:K494"/>
    <mergeCell ref="L494:N494"/>
    <mergeCell ref="O494:R494"/>
    <mergeCell ref="S494:V494"/>
    <mergeCell ref="D491:I491"/>
    <mergeCell ref="J491:K491"/>
    <mergeCell ref="L491:N491"/>
    <mergeCell ref="O491:R491"/>
    <mergeCell ref="S491:V491"/>
    <mergeCell ref="D492:I492"/>
    <mergeCell ref="J492:K492"/>
    <mergeCell ref="L492:N492"/>
    <mergeCell ref="O492:R492"/>
    <mergeCell ref="S492:V492"/>
    <mergeCell ref="B500:H500"/>
    <mergeCell ref="I500:R500"/>
    <mergeCell ref="S500:V500"/>
    <mergeCell ref="B497:V497"/>
    <mergeCell ref="B498:H498"/>
    <mergeCell ref="I498:R498"/>
    <mergeCell ref="S498:V498"/>
    <mergeCell ref="B499:G499"/>
    <mergeCell ref="H499:L499"/>
    <mergeCell ref="M499:O499"/>
    <mergeCell ref="P499:R499"/>
    <mergeCell ref="S499:V499"/>
    <mergeCell ref="D495:I495"/>
    <mergeCell ref="J495:K495"/>
    <mergeCell ref="L495:N495"/>
    <mergeCell ref="O495:R495"/>
    <mergeCell ref="S495:V495"/>
    <mergeCell ref="B496:H496"/>
    <mergeCell ref="I496:R496"/>
    <mergeCell ref="S496:V496"/>
    <mergeCell ref="C505:E505"/>
    <mergeCell ref="G505:L505"/>
    <mergeCell ref="N505:U505"/>
    <mergeCell ref="L511:N511"/>
    <mergeCell ref="O511:R511"/>
    <mergeCell ref="S511:V511"/>
    <mergeCell ref="D512:I512"/>
    <mergeCell ref="J512:K512"/>
    <mergeCell ref="L512:N512"/>
    <mergeCell ref="O512:R512"/>
    <mergeCell ref="S512:V512"/>
    <mergeCell ref="D513:I513"/>
    <mergeCell ref="J513:K513"/>
    <mergeCell ref="L513:N513"/>
    <mergeCell ref="O513:R513"/>
    <mergeCell ref="S513:V513"/>
    <mergeCell ref="C506:D507"/>
    <mergeCell ref="E506:J507"/>
    <mergeCell ref="K506:L506"/>
    <mergeCell ref="N506:P506"/>
    <mergeCell ref="K507:L507"/>
    <mergeCell ref="N507:P507"/>
    <mergeCell ref="R507:S507"/>
    <mergeCell ref="B508:C508"/>
    <mergeCell ref="D508:I508"/>
    <mergeCell ref="J508:K508"/>
    <mergeCell ref="L508:N508"/>
    <mergeCell ref="O508:R508"/>
    <mergeCell ref="S508:V508"/>
    <mergeCell ref="D509:I509"/>
    <mergeCell ref="J509:K509"/>
    <mergeCell ref="L509:N509"/>
    <mergeCell ref="O509:R509"/>
    <mergeCell ref="S509:V509"/>
    <mergeCell ref="B519:H519"/>
    <mergeCell ref="I519:R519"/>
    <mergeCell ref="S519:V519"/>
    <mergeCell ref="D514:I514"/>
    <mergeCell ref="J514:K514"/>
    <mergeCell ref="L514:N514"/>
    <mergeCell ref="O514:R514"/>
    <mergeCell ref="S514:V514"/>
    <mergeCell ref="B515:H515"/>
    <mergeCell ref="I515:R515"/>
    <mergeCell ref="S515:V515"/>
    <mergeCell ref="B516:V516"/>
    <mergeCell ref="B517:H517"/>
    <mergeCell ref="I517:R517"/>
    <mergeCell ref="S517:V517"/>
    <mergeCell ref="B518:G518"/>
    <mergeCell ref="H518:L518"/>
    <mergeCell ref="M518:O518"/>
    <mergeCell ref="P518:R518"/>
    <mergeCell ref="S518:V518"/>
    <mergeCell ref="D510:I510"/>
    <mergeCell ref="J510:K510"/>
    <mergeCell ref="L510:N510"/>
    <mergeCell ref="O510:R510"/>
    <mergeCell ref="S510:V510"/>
    <mergeCell ref="D511:I511"/>
    <mergeCell ref="J511:K511"/>
  </mergeCells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101" orientation="portrait" r:id="rId1"/>
  <ignoredErrors>
    <ignoredError sqref="B5:V5 B23:V25 B22:F22 O22:V22 B58:V60 B57:F57 O57:V57 B78:V80 B77:F77 O77:V77 B99:V101 B98:F98 O98:V98 B120:V122 B119:F119 O119:V119 B136:V138 B135:F135 O135:V135 B152:V154 B151:F151 O151:V151 B168:V170 B167:F167 O167:V167 B184:V186 B183:F183 O183:V183 B205:V207 B204:F204 O204:V204 B230:V232 B229:F229 O229:V229 B255:V257 B254:F254 O254:V254 B276:V278 B275:F275 O275:V275 B294:V296 B293:F293 O293:V293 B318:V320 B317:F317 O317:V317 B333:V335 B332:F332 O332:V332 B348:V350 B347:F347 O347:V347 B368:V370 B367:F367 O367:V367 B384:V386 B383:F383 O383:V383 B403:V405 B402:F402 O402:V402 B421:V423 B420:F420 O420:V420 B438:V440 B437:F437 O437:V437 B456:V458 B455:F455 O455:V455 B472:V474 B471:F471 O471:V471 B488:V490 B487:F487 O487:V487 B53:V56 B14:V14 B6:N6 B7 D7:N7 B394:V394 B388:N388 B412:V412 B406:N406 B497:V497 B491:N491 B8 D8:N8 B142:V142 B140:N140 B158:V158 B156:N156 B174:V174 B172:N172 B196:V196 B192:N192 B222:V222 B215:N215 B247:V247 B240:N240 B261 B260:N260 B285:V285 B279:N279 B354 B352:N352 B375:V375 B371:N371 B407:N407 B429:V429 B425:N425 B447:V447 B442:N442 B463:V463 B461:N461 B478:V478 B476:N476 B492:N492 B28:V28 B26 D26:N26 B126:V126 B123 D123:N123 B124 D124:N124 B139:N139 B191 B189:N189 B214:N214 B212:N212 B239:N239 B237:N237 B155 D155:N155 B171:N171 B475:N475 B188:N188 B187 D187:N187 B211:N211 B208:N208 B236:N236 B233:N233 B209:N209 B234:N234 B190:N190 B213:N213 B238:N238 D191:N191 B193 D193:N193 B194 D194:N194 B210 D210:N210 B216:N216 B217:N217 B241:N241 B267:V267 B262:N262 B242:N242 B263:N263 B218 D218:N218 B243:N243 B219:N219 B244:N244 B309:V309 B305:N305 B220:N220 B245:N245 B306:N306 B235 D235:N235 B259:N259 B258:N258 D261:N261 B280:N280 B264:N264 B281:N281 B282:N282 B304 B297 D297:N297 B298:N298 B299:N299 B300 D300:N300 B338:V338 B336:N336 B301 D301:N301 B302:N302 B303:N303 D304:N304 B307 D307:N307 B323:V323 B321 D321:N321 B460 B459:N459 B351 D351:N351 B353 D353:N353 B359:V359 B356 D356:N356 B357 D357:N357 B387 D387:N387 B408 D408:N408 B409 D409:N409 B410 D410:N410 B424:N424 B441:N441 B426 D426:N426 B443:N443 B427:N427 B444:N444 D460:N460 T6:V6 B11:N11 B13:R13 T13:V13 B18:V21 B15:R15 T15:V15 B16:R16 T16:V16 B17:R17 T17:V17 T26:V26 B27:R27 T27:V27 B32:V36 B29:R29 B30:R31 B73:V76 B70:R72 B94:V97 B91:R93 B115:V118 B112:R114 B130:V134 B127:R129 B146:V150 B143:R145 B162:V166 B159:R161 B178:V182 B175:R177 B200:V203 B197:R199 B226:V228 B223:R225 B251:V253 B248:R250 B271:V274 B268:R270 B289:V292 B286:R288 B313:V316 B310:R312 B327:V331 B324:R326 B342:V346 B339:R341 B363:V366 B360:R362 B379:V382 B376:R378 B398:V401 B395:R397 B416:V419 B413:R415 B433:V436 B430:R432 B451:V454 B448:R450 B467:V470 B464:R466 B482:V486 B479:R481 B501:V504 B498:R500 B69:V69 B61 T61:V61 B67:N67 B68:R68 T68:V68 B90:V90 B81:N81 T81:V81 B88:N88 B89:R89 T89:V89 B111:V111 B102:N102 T102:V102 B109:N109 B110:R110 T110:V110 T123:V123 B125:R125 T125:V125 T139:V139 B141:R141 T141:V141 T155:V155 B157:R157 T157:V157 T171:V171 B173:R173 T173:V173 T187:V187 B195:R195 T195:V195 T208:V208 B221:R221 T221:V221 T233:V233 B246:R246 T246:V246 T258:V258 B265 B266:R266 T266:V266 T279:V279 B283:N283 B284:R284 T284:V284 T297:V297 B308:R308 T308:V308 T321:V321 B322:R322 T322:V322 T336:V336 B337:R337 T337:V337 T351:V351 B358:R358 T358:V358 T371:V371 B373:N373 B374:R374 T374:V374 T387:V387 B389:N389 B393:R393 T393:V393 T406:V406 B411:R411 T411:V411 T424:V424 B428:R428 T428:V428 T441:V441 B445:N445 B446:R446 T446:V446 T459:V459 B462:R462 T462:V462 T475:V475 T476:V476 B477:R477 T477:V477 T491:V491 B493:N493 B496:R496 T496:V496 P61:R61 B62:N62 P62:R62 B63:N63 P63:R63 B64:N64 P64:R64 B65:N65 P65:R65 B66:N66 P66:R66 P67:R67 P81:R81 B82:N82 P82:R82 B83:N83 P83:R83 B84:N84 P84:R84 B85:N85 P85:R85 B86:N86 P86:R86 B87:N87 P87:R87 P88:R88 P102:R102 B103:N103 P103:R103 B104:N104 P104:R104 B105:N105 P105:R105 B106:N106 P106:R106 B107:N107 P107:R107 B108:N108 P108:R108 P109:R109 H22:M22 H57:M57 H77:M77 H98:M98 H119:M119 H135:M135 H151:M151 H167:M167 H183:M183 H204:M204 H229:M229 H254:M254 H275:M275 H293:M293 H317:M317 H332:M332 H347:M347 H367:M367 H383:M383 H402:M402 H420:M420 H437:M437 H455:M455 H471:M471 H487:M487 B9:C9 E9:N9 B10 D10:N10 B392:N392 B390:N390 B12 D12:N12 B355:N355 D354:N354 B372:N372 B391:N391 B495:N495 B494:N494 C511:C514 D61:N61 D265:N265 C43:C47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Planilha3"/>
  <dimension ref="A1:L28"/>
  <sheetViews>
    <sheetView zoomScale="115" zoomScaleNormal="115" workbookViewId="0">
      <selection activeCell="R31" sqref="R31"/>
    </sheetView>
  </sheetViews>
  <sheetFormatPr defaultColWidth="9.140625" defaultRowHeight="12.75"/>
  <cols>
    <col min="1" max="1" width="8.140625" style="222" customWidth="1"/>
    <col min="2" max="2" width="13.85546875" style="222" customWidth="1"/>
    <col min="3" max="3" width="16" style="222" customWidth="1"/>
    <col min="4" max="4" width="10" style="222" bestFit="1" customWidth="1"/>
    <col min="5" max="5" width="15.42578125" style="222" customWidth="1"/>
    <col min="6" max="6" width="8.28515625" style="222" customWidth="1"/>
    <col min="7" max="7" width="6.7109375" style="222" bestFit="1" customWidth="1"/>
    <col min="8" max="8" width="1" style="222" customWidth="1"/>
    <col min="9" max="9" width="18.140625" style="222" customWidth="1"/>
    <col min="10" max="10" width="12.7109375" style="222" customWidth="1"/>
    <col min="11" max="11" width="5.7109375" style="222" customWidth="1"/>
    <col min="12" max="16384" width="9.140625" style="12"/>
  </cols>
  <sheetData>
    <row r="1" spans="1:12">
      <c r="C1" s="223"/>
    </row>
    <row r="2" spans="1:12">
      <c r="B2" s="225" t="s">
        <v>299</v>
      </c>
      <c r="C2" s="225"/>
      <c r="D2" s="225"/>
      <c r="E2" s="225"/>
      <c r="F2" s="225"/>
      <c r="G2" s="225"/>
      <c r="H2" s="225"/>
      <c r="I2" s="225"/>
      <c r="J2" s="225"/>
      <c r="K2" s="225"/>
      <c r="L2" s="226"/>
    </row>
    <row r="3" spans="1:12"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6"/>
    </row>
    <row r="4" spans="1:12">
      <c r="B4" s="225" t="s">
        <v>300</v>
      </c>
      <c r="C4" s="227"/>
      <c r="D4" s="225" t="s">
        <v>301</v>
      </c>
      <c r="E4" s="228" t="s">
        <v>302</v>
      </c>
      <c r="F4" s="227"/>
      <c r="G4" s="227"/>
      <c r="H4" s="227"/>
      <c r="I4" s="225"/>
      <c r="J4" s="225"/>
      <c r="K4" s="225"/>
      <c r="L4" s="226"/>
    </row>
    <row r="5" spans="1:12">
      <c r="B5" s="225"/>
      <c r="C5" s="227"/>
      <c r="D5" s="225"/>
      <c r="E5" s="228" t="s">
        <v>303</v>
      </c>
      <c r="F5" s="227"/>
      <c r="G5" s="227"/>
      <c r="H5" s="227"/>
      <c r="I5" s="225"/>
      <c r="J5" s="225"/>
      <c r="K5" s="225"/>
      <c r="L5" s="226"/>
    </row>
    <row r="6" spans="1:12">
      <c r="B6" s="225"/>
      <c r="C6" s="229"/>
      <c r="D6" s="225"/>
      <c r="E6" s="225"/>
      <c r="F6" s="225"/>
      <c r="G6" s="225"/>
      <c r="H6" s="225"/>
      <c r="I6" s="225"/>
      <c r="J6" s="225"/>
      <c r="K6" s="225"/>
      <c r="L6" s="226"/>
    </row>
    <row r="7" spans="1:12">
      <c r="B7" s="230" t="s">
        <v>304</v>
      </c>
      <c r="C7" s="231" t="s">
        <v>308</v>
      </c>
      <c r="D7" s="231"/>
      <c r="E7" s="231" t="s">
        <v>645</v>
      </c>
      <c r="F7" s="232"/>
      <c r="G7" s="232"/>
      <c r="H7" s="233"/>
      <c r="I7" s="234" t="s">
        <v>305</v>
      </c>
      <c r="J7" s="225"/>
      <c r="K7" s="225"/>
      <c r="L7" s="226"/>
    </row>
    <row r="8" spans="1:12">
      <c r="B8" s="235" t="s">
        <v>306</v>
      </c>
      <c r="C8" s="236">
        <v>340.976</v>
      </c>
      <c r="D8" s="236"/>
      <c r="E8" s="236">
        <v>540.11199999999997</v>
      </c>
      <c r="F8" s="237"/>
      <c r="G8" s="237"/>
      <c r="H8" s="238"/>
      <c r="I8" s="239">
        <f>TRUNC((E8-C8)/C8+1,4)</f>
        <v>1.5840000000000001</v>
      </c>
      <c r="J8" s="225"/>
      <c r="K8" s="225"/>
      <c r="L8" s="226"/>
    </row>
    <row r="9" spans="1:12">
      <c r="B9" s="225"/>
      <c r="C9" s="240"/>
      <c r="D9" s="240"/>
      <c r="E9" s="240"/>
      <c r="F9" s="241"/>
      <c r="G9" s="240"/>
      <c r="H9" s="240"/>
      <c r="I9" s="242"/>
      <c r="J9" s="225"/>
      <c r="K9" s="225"/>
      <c r="L9" s="226"/>
    </row>
    <row r="10" spans="1:12">
      <c r="B10" s="225"/>
      <c r="C10" s="240"/>
      <c r="D10" s="240"/>
      <c r="E10" s="240"/>
      <c r="F10" s="240"/>
      <c r="G10" s="240"/>
      <c r="H10" s="240"/>
      <c r="I10" s="242"/>
      <c r="J10" s="225"/>
      <c r="K10" s="225"/>
      <c r="L10" s="226"/>
    </row>
    <row r="11" spans="1:12">
      <c r="A11" s="224"/>
      <c r="B11" s="243" t="s">
        <v>307</v>
      </c>
      <c r="C11" s="244"/>
      <c r="D11" s="244"/>
      <c r="E11" s="244"/>
      <c r="F11" s="244"/>
      <c r="G11" s="244"/>
      <c r="H11" s="244"/>
      <c r="I11" s="245">
        <f>I8</f>
        <v>1.5840000000000001</v>
      </c>
      <c r="J11" s="246"/>
      <c r="K11" s="246"/>
      <c r="L11" s="226"/>
    </row>
    <row r="12" spans="1:12">
      <c r="A12" s="224"/>
      <c r="B12" s="246"/>
      <c r="C12" s="247"/>
      <c r="D12" s="247"/>
      <c r="E12" s="247"/>
      <c r="F12" s="247"/>
      <c r="G12" s="247"/>
      <c r="H12" s="247"/>
      <c r="I12" s="248"/>
      <c r="J12" s="246"/>
      <c r="K12" s="246"/>
      <c r="L12" s="226"/>
    </row>
    <row r="13" spans="1:12">
      <c r="A13" s="224"/>
      <c r="B13" s="243" t="s">
        <v>309</v>
      </c>
      <c r="C13" s="244"/>
      <c r="D13" s="244"/>
      <c r="E13" s="244"/>
      <c r="F13" s="244"/>
      <c r="G13" s="244"/>
      <c r="H13" s="244"/>
      <c r="I13" s="249">
        <v>121.06</v>
      </c>
      <c r="J13" s="249">
        <f>ROUND(I13*$I$11,2)</f>
        <v>191.76</v>
      </c>
      <c r="L13" s="226"/>
    </row>
    <row r="14" spans="1:12">
      <c r="A14" s="224"/>
      <c r="B14" s="225" t="s">
        <v>310</v>
      </c>
      <c r="C14" s="247"/>
      <c r="D14" s="247"/>
      <c r="E14" s="247"/>
      <c r="F14" s="247"/>
      <c r="G14" s="247"/>
      <c r="H14" s="247"/>
      <c r="I14" s="248"/>
      <c r="J14" s="246"/>
      <c r="K14" s="225"/>
      <c r="L14" s="226"/>
    </row>
    <row r="15" spans="1:12">
      <c r="A15" s="224"/>
      <c r="B15" s="243" t="s">
        <v>309</v>
      </c>
      <c r="C15" s="244"/>
      <c r="D15" s="244"/>
      <c r="E15" s="244"/>
      <c r="F15" s="244"/>
      <c r="G15" s="244"/>
      <c r="H15" s="244"/>
      <c r="I15" s="249">
        <v>75.67</v>
      </c>
      <c r="J15" s="249">
        <f>ROUND(I15*$I$11,2)</f>
        <v>119.86</v>
      </c>
      <c r="L15" s="226"/>
    </row>
    <row r="16" spans="1:12">
      <c r="A16" s="224"/>
      <c r="B16" s="225" t="s">
        <v>311</v>
      </c>
      <c r="C16" s="247"/>
      <c r="D16" s="247"/>
      <c r="E16" s="247"/>
      <c r="F16" s="247"/>
      <c r="G16" s="247"/>
      <c r="H16" s="247"/>
      <c r="I16" s="248"/>
      <c r="J16" s="246"/>
      <c r="K16" s="225"/>
      <c r="L16" s="226"/>
    </row>
    <row r="17" spans="2:12">
      <c r="B17" s="243" t="s">
        <v>309</v>
      </c>
      <c r="C17" s="244"/>
      <c r="D17" s="244"/>
      <c r="E17" s="244"/>
      <c r="F17" s="244"/>
      <c r="G17" s="244"/>
      <c r="H17" s="244"/>
      <c r="I17" s="249">
        <v>68.09</v>
      </c>
      <c r="J17" s="249">
        <f>ROUND(I17*$I$11,2)</f>
        <v>107.85</v>
      </c>
      <c r="L17" s="226"/>
    </row>
    <row r="18" spans="2:12">
      <c r="B18" s="225" t="s">
        <v>312</v>
      </c>
      <c r="C18" s="240"/>
      <c r="D18" s="240"/>
      <c r="E18" s="240"/>
      <c r="F18" s="240"/>
      <c r="G18" s="240"/>
      <c r="H18" s="240"/>
      <c r="I18" s="242"/>
      <c r="J18" s="225"/>
      <c r="K18" s="225"/>
      <c r="L18" s="226"/>
    </row>
    <row r="19" spans="2:12">
      <c r="B19" s="243" t="s">
        <v>309</v>
      </c>
      <c r="C19" s="244"/>
      <c r="D19" s="244"/>
      <c r="E19" s="244"/>
      <c r="F19" s="244"/>
      <c r="G19" s="244"/>
      <c r="H19" s="244"/>
      <c r="I19" s="249">
        <v>143.76</v>
      </c>
      <c r="J19" s="249">
        <f>ROUND(I19*$I$11,2)</f>
        <v>227.72</v>
      </c>
      <c r="L19" s="226"/>
    </row>
    <row r="20" spans="2:12">
      <c r="B20" s="225" t="s">
        <v>313</v>
      </c>
      <c r="C20" s="225"/>
      <c r="D20" s="225"/>
      <c r="E20" s="225"/>
      <c r="F20" s="225"/>
      <c r="G20" s="225"/>
      <c r="H20" s="225"/>
      <c r="I20" s="225"/>
      <c r="J20" s="225"/>
      <c r="K20" s="225"/>
      <c r="L20" s="226"/>
    </row>
    <row r="21" spans="2:12">
      <c r="B21" s="243" t="s">
        <v>309</v>
      </c>
      <c r="C21" s="244"/>
      <c r="D21" s="244"/>
      <c r="E21" s="244"/>
      <c r="F21" s="244"/>
      <c r="G21" s="244"/>
      <c r="H21" s="244"/>
      <c r="I21" s="249">
        <v>60.52</v>
      </c>
      <c r="J21" s="249">
        <f>ROUND(I21*$I$11,2)</f>
        <v>95.86</v>
      </c>
      <c r="L21" s="226"/>
    </row>
    <row r="22" spans="2:12">
      <c r="B22" s="225" t="s">
        <v>314</v>
      </c>
      <c r="C22" s="225"/>
      <c r="D22" s="225"/>
      <c r="E22" s="225"/>
      <c r="F22" s="225"/>
      <c r="G22" s="225"/>
      <c r="H22" s="225"/>
      <c r="I22" s="225"/>
      <c r="J22" s="225"/>
      <c r="K22" s="225"/>
      <c r="L22" s="226"/>
    </row>
    <row r="23" spans="2:12">
      <c r="B23" s="243" t="s">
        <v>309</v>
      </c>
      <c r="C23" s="244"/>
      <c r="D23" s="244"/>
      <c r="E23" s="244"/>
      <c r="F23" s="244"/>
      <c r="G23" s="244"/>
      <c r="H23" s="244"/>
      <c r="I23" s="249">
        <v>174.03</v>
      </c>
      <c r="J23" s="249">
        <f>ROUND(I23*$I$11,2)</f>
        <v>275.66000000000003</v>
      </c>
      <c r="L23" s="226"/>
    </row>
    <row r="24" spans="2:12">
      <c r="B24" s="225" t="s">
        <v>315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6"/>
    </row>
    <row r="25" spans="2:12">
      <c r="B25" s="243" t="s">
        <v>309</v>
      </c>
      <c r="C25" s="244"/>
      <c r="D25" s="244"/>
      <c r="E25" s="244"/>
      <c r="F25" s="244"/>
      <c r="G25" s="244"/>
      <c r="H25" s="244"/>
      <c r="I25" s="249">
        <v>45.39</v>
      </c>
      <c r="J25" s="249">
        <f>ROUND(I25*$I$11,2)</f>
        <v>71.900000000000006</v>
      </c>
      <c r="L25" s="226"/>
    </row>
    <row r="26" spans="2:12">
      <c r="B26" s="225" t="s">
        <v>316</v>
      </c>
      <c r="C26" s="225"/>
      <c r="D26" s="225"/>
      <c r="E26" s="225"/>
      <c r="F26" s="225"/>
      <c r="G26" s="225"/>
      <c r="H26" s="225"/>
      <c r="I26" s="225"/>
      <c r="J26" s="225"/>
      <c r="K26" s="225"/>
      <c r="L26" s="226"/>
    </row>
    <row r="27" spans="2:12">
      <c r="B27" s="243" t="s">
        <v>309</v>
      </c>
      <c r="C27" s="244"/>
      <c r="D27" s="244"/>
      <c r="E27" s="244"/>
      <c r="F27" s="244"/>
      <c r="G27" s="244"/>
      <c r="H27" s="244"/>
      <c r="I27" s="249">
        <v>68.09</v>
      </c>
      <c r="J27" s="249">
        <f>ROUND(I27*$I$11,2)</f>
        <v>107.85</v>
      </c>
      <c r="L27" s="226"/>
    </row>
    <row r="28" spans="2:12">
      <c r="B28" s="225" t="s">
        <v>317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DC0D3-9392-49F6-BDE6-0BD05C78EC60}">
  <sheetPr>
    <tabColor rgb="FF00B050"/>
  </sheetPr>
  <dimension ref="A1:I69"/>
  <sheetViews>
    <sheetView topLeftCell="A52" zoomScale="120" zoomScaleNormal="120" workbookViewId="0">
      <selection activeCell="G71" sqref="G71"/>
    </sheetView>
  </sheetViews>
  <sheetFormatPr defaultRowHeight="12.75"/>
  <cols>
    <col min="1" max="1" width="13.7109375" style="559" customWidth="1"/>
    <col min="2" max="2" width="16.85546875" style="559" customWidth="1"/>
    <col min="3" max="3" width="14.85546875" style="559" bestFit="1" customWidth="1"/>
    <col min="4" max="4" width="11.140625" style="559" bestFit="1" customWidth="1"/>
    <col min="5" max="5" width="5.85546875" style="559" bestFit="1" customWidth="1"/>
    <col min="6" max="6" width="16.42578125" style="559" bestFit="1" customWidth="1"/>
    <col min="7" max="7" width="20" style="559" customWidth="1"/>
    <col min="8" max="16" width="9.140625" style="559"/>
    <col min="17" max="17" width="13.7109375" style="559" customWidth="1"/>
    <col min="18" max="18" width="15.5703125" style="559" customWidth="1"/>
    <col min="19" max="19" width="14.42578125" style="559" bestFit="1" customWidth="1"/>
    <col min="20" max="20" width="10.85546875" style="559" bestFit="1" customWidth="1"/>
    <col min="21" max="21" width="10.42578125" style="559" customWidth="1"/>
    <col min="22" max="22" width="16.140625" style="559" bestFit="1" customWidth="1"/>
    <col min="23" max="23" width="12.7109375" style="559" customWidth="1"/>
    <col min="24" max="256" width="9.140625" style="559"/>
    <col min="257" max="257" width="13.7109375" style="559" customWidth="1"/>
    <col min="258" max="258" width="16.85546875" style="559" customWidth="1"/>
    <col min="259" max="259" width="14.85546875" style="559" bestFit="1" customWidth="1"/>
    <col min="260" max="260" width="11.140625" style="559" bestFit="1" customWidth="1"/>
    <col min="261" max="261" width="5.85546875" style="559" bestFit="1" customWidth="1"/>
    <col min="262" max="262" width="16.42578125" style="559" bestFit="1" customWidth="1"/>
    <col min="263" max="263" width="20" style="559" customWidth="1"/>
    <col min="264" max="272" width="9.140625" style="559"/>
    <col min="273" max="273" width="13.7109375" style="559" customWidth="1"/>
    <col min="274" max="274" width="15.5703125" style="559" customWidth="1"/>
    <col min="275" max="275" width="14.42578125" style="559" bestFit="1" customWidth="1"/>
    <col min="276" max="276" width="10.85546875" style="559" bestFit="1" customWidth="1"/>
    <col min="277" max="277" width="10.42578125" style="559" customWidth="1"/>
    <col min="278" max="278" width="16.140625" style="559" bestFit="1" customWidth="1"/>
    <col min="279" max="279" width="12.7109375" style="559" customWidth="1"/>
    <col min="280" max="512" width="9.140625" style="559"/>
    <col min="513" max="513" width="13.7109375" style="559" customWidth="1"/>
    <col min="514" max="514" width="16.85546875" style="559" customWidth="1"/>
    <col min="515" max="515" width="14.85546875" style="559" bestFit="1" customWidth="1"/>
    <col min="516" max="516" width="11.140625" style="559" bestFit="1" customWidth="1"/>
    <col min="517" max="517" width="5.85546875" style="559" bestFit="1" customWidth="1"/>
    <col min="518" max="518" width="16.42578125" style="559" bestFit="1" customWidth="1"/>
    <col min="519" max="519" width="20" style="559" customWidth="1"/>
    <col min="520" max="528" width="9.140625" style="559"/>
    <col min="529" max="529" width="13.7109375" style="559" customWidth="1"/>
    <col min="530" max="530" width="15.5703125" style="559" customWidth="1"/>
    <col min="531" max="531" width="14.42578125" style="559" bestFit="1" customWidth="1"/>
    <col min="532" max="532" width="10.85546875" style="559" bestFit="1" customWidth="1"/>
    <col min="533" max="533" width="10.42578125" style="559" customWidth="1"/>
    <col min="534" max="534" width="16.140625" style="559" bestFit="1" customWidth="1"/>
    <col min="535" max="535" width="12.7109375" style="559" customWidth="1"/>
    <col min="536" max="768" width="9.140625" style="559"/>
    <col min="769" max="769" width="13.7109375" style="559" customWidth="1"/>
    <col min="770" max="770" width="16.85546875" style="559" customWidth="1"/>
    <col min="771" max="771" width="14.85546875" style="559" bestFit="1" customWidth="1"/>
    <col min="772" max="772" width="11.140625" style="559" bestFit="1" customWidth="1"/>
    <col min="773" max="773" width="5.85546875" style="559" bestFit="1" customWidth="1"/>
    <col min="774" max="774" width="16.42578125" style="559" bestFit="1" customWidth="1"/>
    <col min="775" max="775" width="20" style="559" customWidth="1"/>
    <col min="776" max="784" width="9.140625" style="559"/>
    <col min="785" max="785" width="13.7109375" style="559" customWidth="1"/>
    <col min="786" max="786" width="15.5703125" style="559" customWidth="1"/>
    <col min="787" max="787" width="14.42578125" style="559" bestFit="1" customWidth="1"/>
    <col min="788" max="788" width="10.85546875" style="559" bestFit="1" customWidth="1"/>
    <col min="789" max="789" width="10.42578125" style="559" customWidth="1"/>
    <col min="790" max="790" width="16.140625" style="559" bestFit="1" customWidth="1"/>
    <col min="791" max="791" width="12.7109375" style="559" customWidth="1"/>
    <col min="792" max="1024" width="9.140625" style="559"/>
    <col min="1025" max="1025" width="13.7109375" style="559" customWidth="1"/>
    <col min="1026" max="1026" width="16.85546875" style="559" customWidth="1"/>
    <col min="1027" max="1027" width="14.85546875" style="559" bestFit="1" customWidth="1"/>
    <col min="1028" max="1028" width="11.140625" style="559" bestFit="1" customWidth="1"/>
    <col min="1029" max="1029" width="5.85546875" style="559" bestFit="1" customWidth="1"/>
    <col min="1030" max="1030" width="16.42578125" style="559" bestFit="1" customWidth="1"/>
    <col min="1031" max="1031" width="20" style="559" customWidth="1"/>
    <col min="1032" max="1040" width="9.140625" style="559"/>
    <col min="1041" max="1041" width="13.7109375" style="559" customWidth="1"/>
    <col min="1042" max="1042" width="15.5703125" style="559" customWidth="1"/>
    <col min="1043" max="1043" width="14.42578125" style="559" bestFit="1" customWidth="1"/>
    <col min="1044" max="1044" width="10.85546875" style="559" bestFit="1" customWidth="1"/>
    <col min="1045" max="1045" width="10.42578125" style="559" customWidth="1"/>
    <col min="1046" max="1046" width="16.140625" style="559" bestFit="1" customWidth="1"/>
    <col min="1047" max="1047" width="12.7109375" style="559" customWidth="1"/>
    <col min="1048" max="1280" width="9.140625" style="559"/>
    <col min="1281" max="1281" width="13.7109375" style="559" customWidth="1"/>
    <col min="1282" max="1282" width="16.85546875" style="559" customWidth="1"/>
    <col min="1283" max="1283" width="14.85546875" style="559" bestFit="1" customWidth="1"/>
    <col min="1284" max="1284" width="11.140625" style="559" bestFit="1" customWidth="1"/>
    <col min="1285" max="1285" width="5.85546875" style="559" bestFit="1" customWidth="1"/>
    <col min="1286" max="1286" width="16.42578125" style="559" bestFit="1" customWidth="1"/>
    <col min="1287" max="1287" width="20" style="559" customWidth="1"/>
    <col min="1288" max="1296" width="9.140625" style="559"/>
    <col min="1297" max="1297" width="13.7109375" style="559" customWidth="1"/>
    <col min="1298" max="1298" width="15.5703125" style="559" customWidth="1"/>
    <col min="1299" max="1299" width="14.42578125" style="559" bestFit="1" customWidth="1"/>
    <col min="1300" max="1300" width="10.85546875" style="559" bestFit="1" customWidth="1"/>
    <col min="1301" max="1301" width="10.42578125" style="559" customWidth="1"/>
    <col min="1302" max="1302" width="16.140625" style="559" bestFit="1" customWidth="1"/>
    <col min="1303" max="1303" width="12.7109375" style="559" customWidth="1"/>
    <col min="1304" max="1536" width="9.140625" style="559"/>
    <col min="1537" max="1537" width="13.7109375" style="559" customWidth="1"/>
    <col min="1538" max="1538" width="16.85546875" style="559" customWidth="1"/>
    <col min="1539" max="1539" width="14.85546875" style="559" bestFit="1" customWidth="1"/>
    <col min="1540" max="1540" width="11.140625" style="559" bestFit="1" customWidth="1"/>
    <col min="1541" max="1541" width="5.85546875" style="559" bestFit="1" customWidth="1"/>
    <col min="1542" max="1542" width="16.42578125" style="559" bestFit="1" customWidth="1"/>
    <col min="1543" max="1543" width="20" style="559" customWidth="1"/>
    <col min="1544" max="1552" width="9.140625" style="559"/>
    <col min="1553" max="1553" width="13.7109375" style="559" customWidth="1"/>
    <col min="1554" max="1554" width="15.5703125" style="559" customWidth="1"/>
    <col min="1555" max="1555" width="14.42578125" style="559" bestFit="1" customWidth="1"/>
    <col min="1556" max="1556" width="10.85546875" style="559" bestFit="1" customWidth="1"/>
    <col min="1557" max="1557" width="10.42578125" style="559" customWidth="1"/>
    <col min="1558" max="1558" width="16.140625" style="559" bestFit="1" customWidth="1"/>
    <col min="1559" max="1559" width="12.7109375" style="559" customWidth="1"/>
    <col min="1560" max="1792" width="9.140625" style="559"/>
    <col min="1793" max="1793" width="13.7109375" style="559" customWidth="1"/>
    <col min="1794" max="1794" width="16.85546875" style="559" customWidth="1"/>
    <col min="1795" max="1795" width="14.85546875" style="559" bestFit="1" customWidth="1"/>
    <col min="1796" max="1796" width="11.140625" style="559" bestFit="1" customWidth="1"/>
    <col min="1797" max="1797" width="5.85546875" style="559" bestFit="1" customWidth="1"/>
    <col min="1798" max="1798" width="16.42578125" style="559" bestFit="1" customWidth="1"/>
    <col min="1799" max="1799" width="20" style="559" customWidth="1"/>
    <col min="1800" max="1808" width="9.140625" style="559"/>
    <col min="1809" max="1809" width="13.7109375" style="559" customWidth="1"/>
    <col min="1810" max="1810" width="15.5703125" style="559" customWidth="1"/>
    <col min="1811" max="1811" width="14.42578125" style="559" bestFit="1" customWidth="1"/>
    <col min="1812" max="1812" width="10.85546875" style="559" bestFit="1" customWidth="1"/>
    <col min="1813" max="1813" width="10.42578125" style="559" customWidth="1"/>
    <col min="1814" max="1814" width="16.140625" style="559" bestFit="1" customWidth="1"/>
    <col min="1815" max="1815" width="12.7109375" style="559" customWidth="1"/>
    <col min="1816" max="2048" width="9.140625" style="559"/>
    <col min="2049" max="2049" width="13.7109375" style="559" customWidth="1"/>
    <col min="2050" max="2050" width="16.85546875" style="559" customWidth="1"/>
    <col min="2051" max="2051" width="14.85546875" style="559" bestFit="1" customWidth="1"/>
    <col min="2052" max="2052" width="11.140625" style="559" bestFit="1" customWidth="1"/>
    <col min="2053" max="2053" width="5.85546875" style="559" bestFit="1" customWidth="1"/>
    <col min="2054" max="2054" width="16.42578125" style="559" bestFit="1" customWidth="1"/>
    <col min="2055" max="2055" width="20" style="559" customWidth="1"/>
    <col min="2056" max="2064" width="9.140625" style="559"/>
    <col min="2065" max="2065" width="13.7109375" style="559" customWidth="1"/>
    <col min="2066" max="2066" width="15.5703125" style="559" customWidth="1"/>
    <col min="2067" max="2067" width="14.42578125" style="559" bestFit="1" customWidth="1"/>
    <col min="2068" max="2068" width="10.85546875" style="559" bestFit="1" customWidth="1"/>
    <col min="2069" max="2069" width="10.42578125" style="559" customWidth="1"/>
    <col min="2070" max="2070" width="16.140625" style="559" bestFit="1" customWidth="1"/>
    <col min="2071" max="2071" width="12.7109375" style="559" customWidth="1"/>
    <col min="2072" max="2304" width="9.140625" style="559"/>
    <col min="2305" max="2305" width="13.7109375" style="559" customWidth="1"/>
    <col min="2306" max="2306" width="16.85546875" style="559" customWidth="1"/>
    <col min="2307" max="2307" width="14.85546875" style="559" bestFit="1" customWidth="1"/>
    <col min="2308" max="2308" width="11.140625" style="559" bestFit="1" customWidth="1"/>
    <col min="2309" max="2309" width="5.85546875" style="559" bestFit="1" customWidth="1"/>
    <col min="2310" max="2310" width="16.42578125" style="559" bestFit="1" customWidth="1"/>
    <col min="2311" max="2311" width="20" style="559" customWidth="1"/>
    <col min="2312" max="2320" width="9.140625" style="559"/>
    <col min="2321" max="2321" width="13.7109375" style="559" customWidth="1"/>
    <col min="2322" max="2322" width="15.5703125" style="559" customWidth="1"/>
    <col min="2323" max="2323" width="14.42578125" style="559" bestFit="1" customWidth="1"/>
    <col min="2324" max="2324" width="10.85546875" style="559" bestFit="1" customWidth="1"/>
    <col min="2325" max="2325" width="10.42578125" style="559" customWidth="1"/>
    <col min="2326" max="2326" width="16.140625" style="559" bestFit="1" customWidth="1"/>
    <col min="2327" max="2327" width="12.7109375" style="559" customWidth="1"/>
    <col min="2328" max="2560" width="9.140625" style="559"/>
    <col min="2561" max="2561" width="13.7109375" style="559" customWidth="1"/>
    <col min="2562" max="2562" width="16.85546875" style="559" customWidth="1"/>
    <col min="2563" max="2563" width="14.85546875" style="559" bestFit="1" customWidth="1"/>
    <col min="2564" max="2564" width="11.140625" style="559" bestFit="1" customWidth="1"/>
    <col min="2565" max="2565" width="5.85546875" style="559" bestFit="1" customWidth="1"/>
    <col min="2566" max="2566" width="16.42578125" style="559" bestFit="1" customWidth="1"/>
    <col min="2567" max="2567" width="20" style="559" customWidth="1"/>
    <col min="2568" max="2576" width="9.140625" style="559"/>
    <col min="2577" max="2577" width="13.7109375" style="559" customWidth="1"/>
    <col min="2578" max="2578" width="15.5703125" style="559" customWidth="1"/>
    <col min="2579" max="2579" width="14.42578125" style="559" bestFit="1" customWidth="1"/>
    <col min="2580" max="2580" width="10.85546875" style="559" bestFit="1" customWidth="1"/>
    <col min="2581" max="2581" width="10.42578125" style="559" customWidth="1"/>
    <col min="2582" max="2582" width="16.140625" style="559" bestFit="1" customWidth="1"/>
    <col min="2583" max="2583" width="12.7109375" style="559" customWidth="1"/>
    <col min="2584" max="2816" width="9.140625" style="559"/>
    <col min="2817" max="2817" width="13.7109375" style="559" customWidth="1"/>
    <col min="2818" max="2818" width="16.85546875" style="559" customWidth="1"/>
    <col min="2819" max="2819" width="14.85546875" style="559" bestFit="1" customWidth="1"/>
    <col min="2820" max="2820" width="11.140625" style="559" bestFit="1" customWidth="1"/>
    <col min="2821" max="2821" width="5.85546875" style="559" bestFit="1" customWidth="1"/>
    <col min="2822" max="2822" width="16.42578125" style="559" bestFit="1" customWidth="1"/>
    <col min="2823" max="2823" width="20" style="559" customWidth="1"/>
    <col min="2824" max="2832" width="9.140625" style="559"/>
    <col min="2833" max="2833" width="13.7109375" style="559" customWidth="1"/>
    <col min="2834" max="2834" width="15.5703125" style="559" customWidth="1"/>
    <col min="2835" max="2835" width="14.42578125" style="559" bestFit="1" customWidth="1"/>
    <col min="2836" max="2836" width="10.85546875" style="559" bestFit="1" customWidth="1"/>
    <col min="2837" max="2837" width="10.42578125" style="559" customWidth="1"/>
    <col min="2838" max="2838" width="16.140625" style="559" bestFit="1" customWidth="1"/>
    <col min="2839" max="2839" width="12.7109375" style="559" customWidth="1"/>
    <col min="2840" max="3072" width="9.140625" style="559"/>
    <col min="3073" max="3073" width="13.7109375" style="559" customWidth="1"/>
    <col min="3074" max="3074" width="16.85546875" style="559" customWidth="1"/>
    <col min="3075" max="3075" width="14.85546875" style="559" bestFit="1" customWidth="1"/>
    <col min="3076" max="3076" width="11.140625" style="559" bestFit="1" customWidth="1"/>
    <col min="3077" max="3077" width="5.85546875" style="559" bestFit="1" customWidth="1"/>
    <col min="3078" max="3078" width="16.42578125" style="559" bestFit="1" customWidth="1"/>
    <col min="3079" max="3079" width="20" style="559" customWidth="1"/>
    <col min="3080" max="3088" width="9.140625" style="559"/>
    <col min="3089" max="3089" width="13.7109375" style="559" customWidth="1"/>
    <col min="3090" max="3090" width="15.5703125" style="559" customWidth="1"/>
    <col min="3091" max="3091" width="14.42578125" style="559" bestFit="1" customWidth="1"/>
    <col min="3092" max="3092" width="10.85546875" style="559" bestFit="1" customWidth="1"/>
    <col min="3093" max="3093" width="10.42578125" style="559" customWidth="1"/>
    <col min="3094" max="3094" width="16.140625" style="559" bestFit="1" customWidth="1"/>
    <col min="3095" max="3095" width="12.7109375" style="559" customWidth="1"/>
    <col min="3096" max="3328" width="9.140625" style="559"/>
    <col min="3329" max="3329" width="13.7109375" style="559" customWidth="1"/>
    <col min="3330" max="3330" width="16.85546875" style="559" customWidth="1"/>
    <col min="3331" max="3331" width="14.85546875" style="559" bestFit="1" customWidth="1"/>
    <col min="3332" max="3332" width="11.140625" style="559" bestFit="1" customWidth="1"/>
    <col min="3333" max="3333" width="5.85546875" style="559" bestFit="1" customWidth="1"/>
    <col min="3334" max="3334" width="16.42578125" style="559" bestFit="1" customWidth="1"/>
    <col min="3335" max="3335" width="20" style="559" customWidth="1"/>
    <col min="3336" max="3344" width="9.140625" style="559"/>
    <col min="3345" max="3345" width="13.7109375" style="559" customWidth="1"/>
    <col min="3346" max="3346" width="15.5703125" style="559" customWidth="1"/>
    <col min="3347" max="3347" width="14.42578125" style="559" bestFit="1" customWidth="1"/>
    <col min="3348" max="3348" width="10.85546875" style="559" bestFit="1" customWidth="1"/>
    <col min="3349" max="3349" width="10.42578125" style="559" customWidth="1"/>
    <col min="3350" max="3350" width="16.140625" style="559" bestFit="1" customWidth="1"/>
    <col min="3351" max="3351" width="12.7109375" style="559" customWidth="1"/>
    <col min="3352" max="3584" width="9.140625" style="559"/>
    <col min="3585" max="3585" width="13.7109375" style="559" customWidth="1"/>
    <col min="3586" max="3586" width="16.85546875" style="559" customWidth="1"/>
    <col min="3587" max="3587" width="14.85546875" style="559" bestFit="1" customWidth="1"/>
    <col min="3588" max="3588" width="11.140625" style="559" bestFit="1" customWidth="1"/>
    <col min="3589" max="3589" width="5.85546875" style="559" bestFit="1" customWidth="1"/>
    <col min="3590" max="3590" width="16.42578125" style="559" bestFit="1" customWidth="1"/>
    <col min="3591" max="3591" width="20" style="559" customWidth="1"/>
    <col min="3592" max="3600" width="9.140625" style="559"/>
    <col min="3601" max="3601" width="13.7109375" style="559" customWidth="1"/>
    <col min="3602" max="3602" width="15.5703125" style="559" customWidth="1"/>
    <col min="3603" max="3603" width="14.42578125" style="559" bestFit="1" customWidth="1"/>
    <col min="3604" max="3604" width="10.85546875" style="559" bestFit="1" customWidth="1"/>
    <col min="3605" max="3605" width="10.42578125" style="559" customWidth="1"/>
    <col min="3606" max="3606" width="16.140625" style="559" bestFit="1" customWidth="1"/>
    <col min="3607" max="3607" width="12.7109375" style="559" customWidth="1"/>
    <col min="3608" max="3840" width="9.140625" style="559"/>
    <col min="3841" max="3841" width="13.7109375" style="559" customWidth="1"/>
    <col min="3842" max="3842" width="16.85546875" style="559" customWidth="1"/>
    <col min="3843" max="3843" width="14.85546875" style="559" bestFit="1" customWidth="1"/>
    <col min="3844" max="3844" width="11.140625" style="559" bestFit="1" customWidth="1"/>
    <col min="3845" max="3845" width="5.85546875" style="559" bestFit="1" customWidth="1"/>
    <col min="3846" max="3846" width="16.42578125" style="559" bestFit="1" customWidth="1"/>
    <col min="3847" max="3847" width="20" style="559" customWidth="1"/>
    <col min="3848" max="3856" width="9.140625" style="559"/>
    <col min="3857" max="3857" width="13.7109375" style="559" customWidth="1"/>
    <col min="3858" max="3858" width="15.5703125" style="559" customWidth="1"/>
    <col min="3859" max="3859" width="14.42578125" style="559" bestFit="1" customWidth="1"/>
    <col min="3860" max="3860" width="10.85546875" style="559" bestFit="1" customWidth="1"/>
    <col min="3861" max="3861" width="10.42578125" style="559" customWidth="1"/>
    <col min="3862" max="3862" width="16.140625" style="559" bestFit="1" customWidth="1"/>
    <col min="3863" max="3863" width="12.7109375" style="559" customWidth="1"/>
    <col min="3864" max="4096" width="9.140625" style="559"/>
    <col min="4097" max="4097" width="13.7109375" style="559" customWidth="1"/>
    <col min="4098" max="4098" width="16.85546875" style="559" customWidth="1"/>
    <col min="4099" max="4099" width="14.85546875" style="559" bestFit="1" customWidth="1"/>
    <col min="4100" max="4100" width="11.140625" style="559" bestFit="1" customWidth="1"/>
    <col min="4101" max="4101" width="5.85546875" style="559" bestFit="1" customWidth="1"/>
    <col min="4102" max="4102" width="16.42578125" style="559" bestFit="1" customWidth="1"/>
    <col min="4103" max="4103" width="20" style="559" customWidth="1"/>
    <col min="4104" max="4112" width="9.140625" style="559"/>
    <col min="4113" max="4113" width="13.7109375" style="559" customWidth="1"/>
    <col min="4114" max="4114" width="15.5703125" style="559" customWidth="1"/>
    <col min="4115" max="4115" width="14.42578125" style="559" bestFit="1" customWidth="1"/>
    <col min="4116" max="4116" width="10.85546875" style="559" bestFit="1" customWidth="1"/>
    <col min="4117" max="4117" width="10.42578125" style="559" customWidth="1"/>
    <col min="4118" max="4118" width="16.140625" style="559" bestFit="1" customWidth="1"/>
    <col min="4119" max="4119" width="12.7109375" style="559" customWidth="1"/>
    <col min="4120" max="4352" width="9.140625" style="559"/>
    <col min="4353" max="4353" width="13.7109375" style="559" customWidth="1"/>
    <col min="4354" max="4354" width="16.85546875" style="559" customWidth="1"/>
    <col min="4355" max="4355" width="14.85546875" style="559" bestFit="1" customWidth="1"/>
    <col min="4356" max="4356" width="11.140625" style="559" bestFit="1" customWidth="1"/>
    <col min="4357" max="4357" width="5.85546875" style="559" bestFit="1" customWidth="1"/>
    <col min="4358" max="4358" width="16.42578125" style="559" bestFit="1" customWidth="1"/>
    <col min="4359" max="4359" width="20" style="559" customWidth="1"/>
    <col min="4360" max="4368" width="9.140625" style="559"/>
    <col min="4369" max="4369" width="13.7109375" style="559" customWidth="1"/>
    <col min="4370" max="4370" width="15.5703125" style="559" customWidth="1"/>
    <col min="4371" max="4371" width="14.42578125" style="559" bestFit="1" customWidth="1"/>
    <col min="4372" max="4372" width="10.85546875" style="559" bestFit="1" customWidth="1"/>
    <col min="4373" max="4373" width="10.42578125" style="559" customWidth="1"/>
    <col min="4374" max="4374" width="16.140625" style="559" bestFit="1" customWidth="1"/>
    <col min="4375" max="4375" width="12.7109375" style="559" customWidth="1"/>
    <col min="4376" max="4608" width="9.140625" style="559"/>
    <col min="4609" max="4609" width="13.7109375" style="559" customWidth="1"/>
    <col min="4610" max="4610" width="16.85546875" style="559" customWidth="1"/>
    <col min="4611" max="4611" width="14.85546875" style="559" bestFit="1" customWidth="1"/>
    <col min="4612" max="4612" width="11.140625" style="559" bestFit="1" customWidth="1"/>
    <col min="4613" max="4613" width="5.85546875" style="559" bestFit="1" customWidth="1"/>
    <col min="4614" max="4614" width="16.42578125" style="559" bestFit="1" customWidth="1"/>
    <col min="4615" max="4615" width="20" style="559" customWidth="1"/>
    <col min="4616" max="4624" width="9.140625" style="559"/>
    <col min="4625" max="4625" width="13.7109375" style="559" customWidth="1"/>
    <col min="4626" max="4626" width="15.5703125" style="559" customWidth="1"/>
    <col min="4627" max="4627" width="14.42578125" style="559" bestFit="1" customWidth="1"/>
    <col min="4628" max="4628" width="10.85546875" style="559" bestFit="1" customWidth="1"/>
    <col min="4629" max="4629" width="10.42578125" style="559" customWidth="1"/>
    <col min="4630" max="4630" width="16.140625" style="559" bestFit="1" customWidth="1"/>
    <col min="4631" max="4631" width="12.7109375" style="559" customWidth="1"/>
    <col min="4632" max="4864" width="9.140625" style="559"/>
    <col min="4865" max="4865" width="13.7109375" style="559" customWidth="1"/>
    <col min="4866" max="4866" width="16.85546875" style="559" customWidth="1"/>
    <col min="4867" max="4867" width="14.85546875" style="559" bestFit="1" customWidth="1"/>
    <col min="4868" max="4868" width="11.140625" style="559" bestFit="1" customWidth="1"/>
    <col min="4869" max="4869" width="5.85546875" style="559" bestFit="1" customWidth="1"/>
    <col min="4870" max="4870" width="16.42578125" style="559" bestFit="1" customWidth="1"/>
    <col min="4871" max="4871" width="20" style="559" customWidth="1"/>
    <col min="4872" max="4880" width="9.140625" style="559"/>
    <col min="4881" max="4881" width="13.7109375" style="559" customWidth="1"/>
    <col min="4882" max="4882" width="15.5703125" style="559" customWidth="1"/>
    <col min="4883" max="4883" width="14.42578125" style="559" bestFit="1" customWidth="1"/>
    <col min="4884" max="4884" width="10.85546875" style="559" bestFit="1" customWidth="1"/>
    <col min="4885" max="4885" width="10.42578125" style="559" customWidth="1"/>
    <col min="4886" max="4886" width="16.140625" style="559" bestFit="1" customWidth="1"/>
    <col min="4887" max="4887" width="12.7109375" style="559" customWidth="1"/>
    <col min="4888" max="5120" width="9.140625" style="559"/>
    <col min="5121" max="5121" width="13.7109375" style="559" customWidth="1"/>
    <col min="5122" max="5122" width="16.85546875" style="559" customWidth="1"/>
    <col min="5123" max="5123" width="14.85546875" style="559" bestFit="1" customWidth="1"/>
    <col min="5124" max="5124" width="11.140625" style="559" bestFit="1" customWidth="1"/>
    <col min="5125" max="5125" width="5.85546875" style="559" bestFit="1" customWidth="1"/>
    <col min="5126" max="5126" width="16.42578125" style="559" bestFit="1" customWidth="1"/>
    <col min="5127" max="5127" width="20" style="559" customWidth="1"/>
    <col min="5128" max="5136" width="9.140625" style="559"/>
    <col min="5137" max="5137" width="13.7109375" style="559" customWidth="1"/>
    <col min="5138" max="5138" width="15.5703125" style="559" customWidth="1"/>
    <col min="5139" max="5139" width="14.42578125" style="559" bestFit="1" customWidth="1"/>
    <col min="5140" max="5140" width="10.85546875" style="559" bestFit="1" customWidth="1"/>
    <col min="5141" max="5141" width="10.42578125" style="559" customWidth="1"/>
    <col min="5142" max="5142" width="16.140625" style="559" bestFit="1" customWidth="1"/>
    <col min="5143" max="5143" width="12.7109375" style="559" customWidth="1"/>
    <col min="5144" max="5376" width="9.140625" style="559"/>
    <col min="5377" max="5377" width="13.7109375" style="559" customWidth="1"/>
    <col min="5378" max="5378" width="16.85546875" style="559" customWidth="1"/>
    <col min="5379" max="5379" width="14.85546875" style="559" bestFit="1" customWidth="1"/>
    <col min="5380" max="5380" width="11.140625" style="559" bestFit="1" customWidth="1"/>
    <col min="5381" max="5381" width="5.85546875" style="559" bestFit="1" customWidth="1"/>
    <col min="5382" max="5382" width="16.42578125" style="559" bestFit="1" customWidth="1"/>
    <col min="5383" max="5383" width="20" style="559" customWidth="1"/>
    <col min="5384" max="5392" width="9.140625" style="559"/>
    <col min="5393" max="5393" width="13.7109375" style="559" customWidth="1"/>
    <col min="5394" max="5394" width="15.5703125" style="559" customWidth="1"/>
    <col min="5395" max="5395" width="14.42578125" style="559" bestFit="1" customWidth="1"/>
    <col min="5396" max="5396" width="10.85546875" style="559" bestFit="1" customWidth="1"/>
    <col min="5397" max="5397" width="10.42578125" style="559" customWidth="1"/>
    <col min="5398" max="5398" width="16.140625" style="559" bestFit="1" customWidth="1"/>
    <col min="5399" max="5399" width="12.7109375" style="559" customWidth="1"/>
    <col min="5400" max="5632" width="9.140625" style="559"/>
    <col min="5633" max="5633" width="13.7109375" style="559" customWidth="1"/>
    <col min="5634" max="5634" width="16.85546875" style="559" customWidth="1"/>
    <col min="5635" max="5635" width="14.85546875" style="559" bestFit="1" customWidth="1"/>
    <col min="5636" max="5636" width="11.140625" style="559" bestFit="1" customWidth="1"/>
    <col min="5637" max="5637" width="5.85546875" style="559" bestFit="1" customWidth="1"/>
    <col min="5638" max="5638" width="16.42578125" style="559" bestFit="1" customWidth="1"/>
    <col min="5639" max="5639" width="20" style="559" customWidth="1"/>
    <col min="5640" max="5648" width="9.140625" style="559"/>
    <col min="5649" max="5649" width="13.7109375" style="559" customWidth="1"/>
    <col min="5650" max="5650" width="15.5703125" style="559" customWidth="1"/>
    <col min="5651" max="5651" width="14.42578125" style="559" bestFit="1" customWidth="1"/>
    <col min="5652" max="5652" width="10.85546875" style="559" bestFit="1" customWidth="1"/>
    <col min="5653" max="5653" width="10.42578125" style="559" customWidth="1"/>
    <col min="5654" max="5654" width="16.140625" style="559" bestFit="1" customWidth="1"/>
    <col min="5655" max="5655" width="12.7109375" style="559" customWidth="1"/>
    <col min="5656" max="5888" width="9.140625" style="559"/>
    <col min="5889" max="5889" width="13.7109375" style="559" customWidth="1"/>
    <col min="5890" max="5890" width="16.85546875" style="559" customWidth="1"/>
    <col min="5891" max="5891" width="14.85546875" style="559" bestFit="1" customWidth="1"/>
    <col min="5892" max="5892" width="11.140625" style="559" bestFit="1" customWidth="1"/>
    <col min="5893" max="5893" width="5.85546875" style="559" bestFit="1" customWidth="1"/>
    <col min="5894" max="5894" width="16.42578125" style="559" bestFit="1" customWidth="1"/>
    <col min="5895" max="5895" width="20" style="559" customWidth="1"/>
    <col min="5896" max="5904" width="9.140625" style="559"/>
    <col min="5905" max="5905" width="13.7109375" style="559" customWidth="1"/>
    <col min="5906" max="5906" width="15.5703125" style="559" customWidth="1"/>
    <col min="5907" max="5907" width="14.42578125" style="559" bestFit="1" customWidth="1"/>
    <col min="5908" max="5908" width="10.85546875" style="559" bestFit="1" customWidth="1"/>
    <col min="5909" max="5909" width="10.42578125" style="559" customWidth="1"/>
    <col min="5910" max="5910" width="16.140625" style="559" bestFit="1" customWidth="1"/>
    <col min="5911" max="5911" width="12.7109375" style="559" customWidth="1"/>
    <col min="5912" max="6144" width="9.140625" style="559"/>
    <col min="6145" max="6145" width="13.7109375" style="559" customWidth="1"/>
    <col min="6146" max="6146" width="16.85546875" style="559" customWidth="1"/>
    <col min="6147" max="6147" width="14.85546875" style="559" bestFit="1" customWidth="1"/>
    <col min="6148" max="6148" width="11.140625" style="559" bestFit="1" customWidth="1"/>
    <col min="6149" max="6149" width="5.85546875" style="559" bestFit="1" customWidth="1"/>
    <col min="6150" max="6150" width="16.42578125" style="559" bestFit="1" customWidth="1"/>
    <col min="6151" max="6151" width="20" style="559" customWidth="1"/>
    <col min="6152" max="6160" width="9.140625" style="559"/>
    <col min="6161" max="6161" width="13.7109375" style="559" customWidth="1"/>
    <col min="6162" max="6162" width="15.5703125" style="559" customWidth="1"/>
    <col min="6163" max="6163" width="14.42578125" style="559" bestFit="1" customWidth="1"/>
    <col min="6164" max="6164" width="10.85546875" style="559" bestFit="1" customWidth="1"/>
    <col min="6165" max="6165" width="10.42578125" style="559" customWidth="1"/>
    <col min="6166" max="6166" width="16.140625" style="559" bestFit="1" customWidth="1"/>
    <col min="6167" max="6167" width="12.7109375" style="559" customWidth="1"/>
    <col min="6168" max="6400" width="9.140625" style="559"/>
    <col min="6401" max="6401" width="13.7109375" style="559" customWidth="1"/>
    <col min="6402" max="6402" width="16.85546875" style="559" customWidth="1"/>
    <col min="6403" max="6403" width="14.85546875" style="559" bestFit="1" customWidth="1"/>
    <col min="6404" max="6404" width="11.140625" style="559" bestFit="1" customWidth="1"/>
    <col min="6405" max="6405" width="5.85546875" style="559" bestFit="1" customWidth="1"/>
    <col min="6406" max="6406" width="16.42578125" style="559" bestFit="1" customWidth="1"/>
    <col min="6407" max="6407" width="20" style="559" customWidth="1"/>
    <col min="6408" max="6416" width="9.140625" style="559"/>
    <col min="6417" max="6417" width="13.7109375" style="559" customWidth="1"/>
    <col min="6418" max="6418" width="15.5703125" style="559" customWidth="1"/>
    <col min="6419" max="6419" width="14.42578125" style="559" bestFit="1" customWidth="1"/>
    <col min="6420" max="6420" width="10.85546875" style="559" bestFit="1" customWidth="1"/>
    <col min="6421" max="6421" width="10.42578125" style="559" customWidth="1"/>
    <col min="6422" max="6422" width="16.140625" style="559" bestFit="1" customWidth="1"/>
    <col min="6423" max="6423" width="12.7109375" style="559" customWidth="1"/>
    <col min="6424" max="6656" width="9.140625" style="559"/>
    <col min="6657" max="6657" width="13.7109375" style="559" customWidth="1"/>
    <col min="6658" max="6658" width="16.85546875" style="559" customWidth="1"/>
    <col min="6659" max="6659" width="14.85546875" style="559" bestFit="1" customWidth="1"/>
    <col min="6660" max="6660" width="11.140625" style="559" bestFit="1" customWidth="1"/>
    <col min="6661" max="6661" width="5.85546875" style="559" bestFit="1" customWidth="1"/>
    <col min="6662" max="6662" width="16.42578125" style="559" bestFit="1" customWidth="1"/>
    <col min="6663" max="6663" width="20" style="559" customWidth="1"/>
    <col min="6664" max="6672" width="9.140625" style="559"/>
    <col min="6673" max="6673" width="13.7109375" style="559" customWidth="1"/>
    <col min="6674" max="6674" width="15.5703125" style="559" customWidth="1"/>
    <col min="6675" max="6675" width="14.42578125" style="559" bestFit="1" customWidth="1"/>
    <col min="6676" max="6676" width="10.85546875" style="559" bestFit="1" customWidth="1"/>
    <col min="6677" max="6677" width="10.42578125" style="559" customWidth="1"/>
    <col min="6678" max="6678" width="16.140625" style="559" bestFit="1" customWidth="1"/>
    <col min="6679" max="6679" width="12.7109375" style="559" customWidth="1"/>
    <col min="6680" max="6912" width="9.140625" style="559"/>
    <col min="6913" max="6913" width="13.7109375" style="559" customWidth="1"/>
    <col min="6914" max="6914" width="16.85546875" style="559" customWidth="1"/>
    <col min="6915" max="6915" width="14.85546875" style="559" bestFit="1" customWidth="1"/>
    <col min="6916" max="6916" width="11.140625" style="559" bestFit="1" customWidth="1"/>
    <col min="6917" max="6917" width="5.85546875" style="559" bestFit="1" customWidth="1"/>
    <col min="6918" max="6918" width="16.42578125" style="559" bestFit="1" customWidth="1"/>
    <col min="6919" max="6919" width="20" style="559" customWidth="1"/>
    <col min="6920" max="6928" width="9.140625" style="559"/>
    <col min="6929" max="6929" width="13.7109375" style="559" customWidth="1"/>
    <col min="6930" max="6930" width="15.5703125" style="559" customWidth="1"/>
    <col min="6931" max="6931" width="14.42578125" style="559" bestFit="1" customWidth="1"/>
    <col min="6932" max="6932" width="10.85546875" style="559" bestFit="1" customWidth="1"/>
    <col min="6933" max="6933" width="10.42578125" style="559" customWidth="1"/>
    <col min="6934" max="6934" width="16.140625" style="559" bestFit="1" customWidth="1"/>
    <col min="6935" max="6935" width="12.7109375" style="559" customWidth="1"/>
    <col min="6936" max="7168" width="9.140625" style="559"/>
    <col min="7169" max="7169" width="13.7109375" style="559" customWidth="1"/>
    <col min="7170" max="7170" width="16.85546875" style="559" customWidth="1"/>
    <col min="7171" max="7171" width="14.85546875" style="559" bestFit="1" customWidth="1"/>
    <col min="7172" max="7172" width="11.140625" style="559" bestFit="1" customWidth="1"/>
    <col min="7173" max="7173" width="5.85546875" style="559" bestFit="1" customWidth="1"/>
    <col min="7174" max="7174" width="16.42578125" style="559" bestFit="1" customWidth="1"/>
    <col min="7175" max="7175" width="20" style="559" customWidth="1"/>
    <col min="7176" max="7184" width="9.140625" style="559"/>
    <col min="7185" max="7185" width="13.7109375" style="559" customWidth="1"/>
    <col min="7186" max="7186" width="15.5703125" style="559" customWidth="1"/>
    <col min="7187" max="7187" width="14.42578125" style="559" bestFit="1" customWidth="1"/>
    <col min="7188" max="7188" width="10.85546875" style="559" bestFit="1" customWidth="1"/>
    <col min="7189" max="7189" width="10.42578125" style="559" customWidth="1"/>
    <col min="7190" max="7190" width="16.140625" style="559" bestFit="1" customWidth="1"/>
    <col min="7191" max="7191" width="12.7109375" style="559" customWidth="1"/>
    <col min="7192" max="7424" width="9.140625" style="559"/>
    <col min="7425" max="7425" width="13.7109375" style="559" customWidth="1"/>
    <col min="7426" max="7426" width="16.85546875" style="559" customWidth="1"/>
    <col min="7427" max="7427" width="14.85546875" style="559" bestFit="1" customWidth="1"/>
    <col min="7428" max="7428" width="11.140625" style="559" bestFit="1" customWidth="1"/>
    <col min="7429" max="7429" width="5.85546875" style="559" bestFit="1" customWidth="1"/>
    <col min="7430" max="7430" width="16.42578125" style="559" bestFit="1" customWidth="1"/>
    <col min="7431" max="7431" width="20" style="559" customWidth="1"/>
    <col min="7432" max="7440" width="9.140625" style="559"/>
    <col min="7441" max="7441" width="13.7109375" style="559" customWidth="1"/>
    <col min="7442" max="7442" width="15.5703125" style="559" customWidth="1"/>
    <col min="7443" max="7443" width="14.42578125" style="559" bestFit="1" customWidth="1"/>
    <col min="7444" max="7444" width="10.85546875" style="559" bestFit="1" customWidth="1"/>
    <col min="7445" max="7445" width="10.42578125" style="559" customWidth="1"/>
    <col min="7446" max="7446" width="16.140625" style="559" bestFit="1" customWidth="1"/>
    <col min="7447" max="7447" width="12.7109375" style="559" customWidth="1"/>
    <col min="7448" max="7680" width="9.140625" style="559"/>
    <col min="7681" max="7681" width="13.7109375" style="559" customWidth="1"/>
    <col min="7682" max="7682" width="16.85546875" style="559" customWidth="1"/>
    <col min="7683" max="7683" width="14.85546875" style="559" bestFit="1" customWidth="1"/>
    <col min="7684" max="7684" width="11.140625" style="559" bestFit="1" customWidth="1"/>
    <col min="7685" max="7685" width="5.85546875" style="559" bestFit="1" customWidth="1"/>
    <col min="7686" max="7686" width="16.42578125" style="559" bestFit="1" customWidth="1"/>
    <col min="7687" max="7687" width="20" style="559" customWidth="1"/>
    <col min="7688" max="7696" width="9.140625" style="559"/>
    <col min="7697" max="7697" width="13.7109375" style="559" customWidth="1"/>
    <col min="7698" max="7698" width="15.5703125" style="559" customWidth="1"/>
    <col min="7699" max="7699" width="14.42578125" style="559" bestFit="1" customWidth="1"/>
    <col min="7700" max="7700" width="10.85546875" style="559" bestFit="1" customWidth="1"/>
    <col min="7701" max="7701" width="10.42578125" style="559" customWidth="1"/>
    <col min="7702" max="7702" width="16.140625" style="559" bestFit="1" customWidth="1"/>
    <col min="7703" max="7703" width="12.7109375" style="559" customWidth="1"/>
    <col min="7704" max="7936" width="9.140625" style="559"/>
    <col min="7937" max="7937" width="13.7109375" style="559" customWidth="1"/>
    <col min="7938" max="7938" width="16.85546875" style="559" customWidth="1"/>
    <col min="7939" max="7939" width="14.85546875" style="559" bestFit="1" customWidth="1"/>
    <col min="7940" max="7940" width="11.140625" style="559" bestFit="1" customWidth="1"/>
    <col min="7941" max="7941" width="5.85546875" style="559" bestFit="1" customWidth="1"/>
    <col min="7942" max="7942" width="16.42578125" style="559" bestFit="1" customWidth="1"/>
    <col min="7943" max="7943" width="20" style="559" customWidth="1"/>
    <col min="7944" max="7952" width="9.140625" style="559"/>
    <col min="7953" max="7953" width="13.7109375" style="559" customWidth="1"/>
    <col min="7954" max="7954" width="15.5703125" style="559" customWidth="1"/>
    <col min="7955" max="7955" width="14.42578125" style="559" bestFit="1" customWidth="1"/>
    <col min="7956" max="7956" width="10.85546875" style="559" bestFit="1" customWidth="1"/>
    <col min="7957" max="7957" width="10.42578125" style="559" customWidth="1"/>
    <col min="7958" max="7958" width="16.140625" style="559" bestFit="1" customWidth="1"/>
    <col min="7959" max="7959" width="12.7109375" style="559" customWidth="1"/>
    <col min="7960" max="8192" width="9.140625" style="559"/>
    <col min="8193" max="8193" width="13.7109375" style="559" customWidth="1"/>
    <col min="8194" max="8194" width="16.85546875" style="559" customWidth="1"/>
    <col min="8195" max="8195" width="14.85546875" style="559" bestFit="1" customWidth="1"/>
    <col min="8196" max="8196" width="11.140625" style="559" bestFit="1" customWidth="1"/>
    <col min="8197" max="8197" width="5.85546875" style="559" bestFit="1" customWidth="1"/>
    <col min="8198" max="8198" width="16.42578125" style="559" bestFit="1" customWidth="1"/>
    <col min="8199" max="8199" width="20" style="559" customWidth="1"/>
    <col min="8200" max="8208" width="9.140625" style="559"/>
    <col min="8209" max="8209" width="13.7109375" style="559" customWidth="1"/>
    <col min="8210" max="8210" width="15.5703125" style="559" customWidth="1"/>
    <col min="8211" max="8211" width="14.42578125" style="559" bestFit="1" customWidth="1"/>
    <col min="8212" max="8212" width="10.85546875" style="559" bestFit="1" customWidth="1"/>
    <col min="8213" max="8213" width="10.42578125" style="559" customWidth="1"/>
    <col min="8214" max="8214" width="16.140625" style="559" bestFit="1" customWidth="1"/>
    <col min="8215" max="8215" width="12.7109375" style="559" customWidth="1"/>
    <col min="8216" max="8448" width="9.140625" style="559"/>
    <col min="8449" max="8449" width="13.7109375" style="559" customWidth="1"/>
    <col min="8450" max="8450" width="16.85546875" style="559" customWidth="1"/>
    <col min="8451" max="8451" width="14.85546875" style="559" bestFit="1" customWidth="1"/>
    <col min="8452" max="8452" width="11.140625" style="559" bestFit="1" customWidth="1"/>
    <col min="8453" max="8453" width="5.85546875" style="559" bestFit="1" customWidth="1"/>
    <col min="8454" max="8454" width="16.42578125" style="559" bestFit="1" customWidth="1"/>
    <col min="8455" max="8455" width="20" style="559" customWidth="1"/>
    <col min="8456" max="8464" width="9.140625" style="559"/>
    <col min="8465" max="8465" width="13.7109375" style="559" customWidth="1"/>
    <col min="8466" max="8466" width="15.5703125" style="559" customWidth="1"/>
    <col min="8467" max="8467" width="14.42578125" style="559" bestFit="1" customWidth="1"/>
    <col min="8468" max="8468" width="10.85546875" style="559" bestFit="1" customWidth="1"/>
    <col min="8469" max="8469" width="10.42578125" style="559" customWidth="1"/>
    <col min="8470" max="8470" width="16.140625" style="559" bestFit="1" customWidth="1"/>
    <col min="8471" max="8471" width="12.7109375" style="559" customWidth="1"/>
    <col min="8472" max="8704" width="9.140625" style="559"/>
    <col min="8705" max="8705" width="13.7109375" style="559" customWidth="1"/>
    <col min="8706" max="8706" width="16.85546875" style="559" customWidth="1"/>
    <col min="8707" max="8707" width="14.85546875" style="559" bestFit="1" customWidth="1"/>
    <col min="8708" max="8708" width="11.140625" style="559" bestFit="1" customWidth="1"/>
    <col min="8709" max="8709" width="5.85546875" style="559" bestFit="1" customWidth="1"/>
    <col min="8710" max="8710" width="16.42578125" style="559" bestFit="1" customWidth="1"/>
    <col min="8711" max="8711" width="20" style="559" customWidth="1"/>
    <col min="8712" max="8720" width="9.140625" style="559"/>
    <col min="8721" max="8721" width="13.7109375" style="559" customWidth="1"/>
    <col min="8722" max="8722" width="15.5703125" style="559" customWidth="1"/>
    <col min="8723" max="8723" width="14.42578125" style="559" bestFit="1" customWidth="1"/>
    <col min="8724" max="8724" width="10.85546875" style="559" bestFit="1" customWidth="1"/>
    <col min="8725" max="8725" width="10.42578125" style="559" customWidth="1"/>
    <col min="8726" max="8726" width="16.140625" style="559" bestFit="1" customWidth="1"/>
    <col min="8727" max="8727" width="12.7109375" style="559" customWidth="1"/>
    <col min="8728" max="8960" width="9.140625" style="559"/>
    <col min="8961" max="8961" width="13.7109375" style="559" customWidth="1"/>
    <col min="8962" max="8962" width="16.85546875" style="559" customWidth="1"/>
    <col min="8963" max="8963" width="14.85546875" style="559" bestFit="1" customWidth="1"/>
    <col min="8964" max="8964" width="11.140625" style="559" bestFit="1" customWidth="1"/>
    <col min="8965" max="8965" width="5.85546875" style="559" bestFit="1" customWidth="1"/>
    <col min="8966" max="8966" width="16.42578125" style="559" bestFit="1" customWidth="1"/>
    <col min="8967" max="8967" width="20" style="559" customWidth="1"/>
    <col min="8968" max="8976" width="9.140625" style="559"/>
    <col min="8977" max="8977" width="13.7109375" style="559" customWidth="1"/>
    <col min="8978" max="8978" width="15.5703125" style="559" customWidth="1"/>
    <col min="8979" max="8979" width="14.42578125" style="559" bestFit="1" customWidth="1"/>
    <col min="8980" max="8980" width="10.85546875" style="559" bestFit="1" customWidth="1"/>
    <col min="8981" max="8981" width="10.42578125" style="559" customWidth="1"/>
    <col min="8982" max="8982" width="16.140625" style="559" bestFit="1" customWidth="1"/>
    <col min="8983" max="8983" width="12.7109375" style="559" customWidth="1"/>
    <col min="8984" max="9216" width="9.140625" style="559"/>
    <col min="9217" max="9217" width="13.7109375" style="559" customWidth="1"/>
    <col min="9218" max="9218" width="16.85546875" style="559" customWidth="1"/>
    <col min="9219" max="9219" width="14.85546875" style="559" bestFit="1" customWidth="1"/>
    <col min="9220" max="9220" width="11.140625" style="559" bestFit="1" customWidth="1"/>
    <col min="9221" max="9221" width="5.85546875" style="559" bestFit="1" customWidth="1"/>
    <col min="9222" max="9222" width="16.42578125" style="559" bestFit="1" customWidth="1"/>
    <col min="9223" max="9223" width="20" style="559" customWidth="1"/>
    <col min="9224" max="9232" width="9.140625" style="559"/>
    <col min="9233" max="9233" width="13.7109375" style="559" customWidth="1"/>
    <col min="9234" max="9234" width="15.5703125" style="559" customWidth="1"/>
    <col min="9235" max="9235" width="14.42578125" style="559" bestFit="1" customWidth="1"/>
    <col min="9236" max="9236" width="10.85546875" style="559" bestFit="1" customWidth="1"/>
    <col min="9237" max="9237" width="10.42578125" style="559" customWidth="1"/>
    <col min="9238" max="9238" width="16.140625" style="559" bestFit="1" customWidth="1"/>
    <col min="9239" max="9239" width="12.7109375" style="559" customWidth="1"/>
    <col min="9240" max="9472" width="9.140625" style="559"/>
    <col min="9473" max="9473" width="13.7109375" style="559" customWidth="1"/>
    <col min="9474" max="9474" width="16.85546875" style="559" customWidth="1"/>
    <col min="9475" max="9475" width="14.85546875" style="559" bestFit="1" customWidth="1"/>
    <col min="9476" max="9476" width="11.140625" style="559" bestFit="1" customWidth="1"/>
    <col min="9477" max="9477" width="5.85546875" style="559" bestFit="1" customWidth="1"/>
    <col min="9478" max="9478" width="16.42578125" style="559" bestFit="1" customWidth="1"/>
    <col min="9479" max="9479" width="20" style="559" customWidth="1"/>
    <col min="9480" max="9488" width="9.140625" style="559"/>
    <col min="9489" max="9489" width="13.7109375" style="559" customWidth="1"/>
    <col min="9490" max="9490" width="15.5703125" style="559" customWidth="1"/>
    <col min="9491" max="9491" width="14.42578125" style="559" bestFit="1" customWidth="1"/>
    <col min="9492" max="9492" width="10.85546875" style="559" bestFit="1" customWidth="1"/>
    <col min="9493" max="9493" width="10.42578125" style="559" customWidth="1"/>
    <col min="9494" max="9494" width="16.140625" style="559" bestFit="1" customWidth="1"/>
    <col min="9495" max="9495" width="12.7109375" style="559" customWidth="1"/>
    <col min="9496" max="9728" width="9.140625" style="559"/>
    <col min="9729" max="9729" width="13.7109375" style="559" customWidth="1"/>
    <col min="9730" max="9730" width="16.85546875" style="559" customWidth="1"/>
    <col min="9731" max="9731" width="14.85546875" style="559" bestFit="1" customWidth="1"/>
    <col min="9732" max="9732" width="11.140625" style="559" bestFit="1" customWidth="1"/>
    <col min="9733" max="9733" width="5.85546875" style="559" bestFit="1" customWidth="1"/>
    <col min="9734" max="9734" width="16.42578125" style="559" bestFit="1" customWidth="1"/>
    <col min="9735" max="9735" width="20" style="559" customWidth="1"/>
    <col min="9736" max="9744" width="9.140625" style="559"/>
    <col min="9745" max="9745" width="13.7109375" style="559" customWidth="1"/>
    <col min="9746" max="9746" width="15.5703125" style="559" customWidth="1"/>
    <col min="9747" max="9747" width="14.42578125" style="559" bestFit="1" customWidth="1"/>
    <col min="9748" max="9748" width="10.85546875" style="559" bestFit="1" customWidth="1"/>
    <col min="9749" max="9749" width="10.42578125" style="559" customWidth="1"/>
    <col min="9750" max="9750" width="16.140625" style="559" bestFit="1" customWidth="1"/>
    <col min="9751" max="9751" width="12.7109375" style="559" customWidth="1"/>
    <col min="9752" max="9984" width="9.140625" style="559"/>
    <col min="9985" max="9985" width="13.7109375" style="559" customWidth="1"/>
    <col min="9986" max="9986" width="16.85546875" style="559" customWidth="1"/>
    <col min="9987" max="9987" width="14.85546875" style="559" bestFit="1" customWidth="1"/>
    <col min="9988" max="9988" width="11.140625" style="559" bestFit="1" customWidth="1"/>
    <col min="9989" max="9989" width="5.85546875" style="559" bestFit="1" customWidth="1"/>
    <col min="9990" max="9990" width="16.42578125" style="559" bestFit="1" customWidth="1"/>
    <col min="9991" max="9991" width="20" style="559" customWidth="1"/>
    <col min="9992" max="10000" width="9.140625" style="559"/>
    <col min="10001" max="10001" width="13.7109375" style="559" customWidth="1"/>
    <col min="10002" max="10002" width="15.5703125" style="559" customWidth="1"/>
    <col min="10003" max="10003" width="14.42578125" style="559" bestFit="1" customWidth="1"/>
    <col min="10004" max="10004" width="10.85546875" style="559" bestFit="1" customWidth="1"/>
    <col min="10005" max="10005" width="10.42578125" style="559" customWidth="1"/>
    <col min="10006" max="10006" width="16.140625" style="559" bestFit="1" customWidth="1"/>
    <col min="10007" max="10007" width="12.7109375" style="559" customWidth="1"/>
    <col min="10008" max="10240" width="9.140625" style="559"/>
    <col min="10241" max="10241" width="13.7109375" style="559" customWidth="1"/>
    <col min="10242" max="10242" width="16.85546875" style="559" customWidth="1"/>
    <col min="10243" max="10243" width="14.85546875" style="559" bestFit="1" customWidth="1"/>
    <col min="10244" max="10244" width="11.140625" style="559" bestFit="1" customWidth="1"/>
    <col min="10245" max="10245" width="5.85546875" style="559" bestFit="1" customWidth="1"/>
    <col min="10246" max="10246" width="16.42578125" style="559" bestFit="1" customWidth="1"/>
    <col min="10247" max="10247" width="20" style="559" customWidth="1"/>
    <col min="10248" max="10256" width="9.140625" style="559"/>
    <col min="10257" max="10257" width="13.7109375" style="559" customWidth="1"/>
    <col min="10258" max="10258" width="15.5703125" style="559" customWidth="1"/>
    <col min="10259" max="10259" width="14.42578125" style="559" bestFit="1" customWidth="1"/>
    <col min="10260" max="10260" width="10.85546875" style="559" bestFit="1" customWidth="1"/>
    <col min="10261" max="10261" width="10.42578125" style="559" customWidth="1"/>
    <col min="10262" max="10262" width="16.140625" style="559" bestFit="1" customWidth="1"/>
    <col min="10263" max="10263" width="12.7109375" style="559" customWidth="1"/>
    <col min="10264" max="10496" width="9.140625" style="559"/>
    <col min="10497" max="10497" width="13.7109375" style="559" customWidth="1"/>
    <col min="10498" max="10498" width="16.85546875" style="559" customWidth="1"/>
    <col min="10499" max="10499" width="14.85546875" style="559" bestFit="1" customWidth="1"/>
    <col min="10500" max="10500" width="11.140625" style="559" bestFit="1" customWidth="1"/>
    <col min="10501" max="10501" width="5.85546875" style="559" bestFit="1" customWidth="1"/>
    <col min="10502" max="10502" width="16.42578125" style="559" bestFit="1" customWidth="1"/>
    <col min="10503" max="10503" width="20" style="559" customWidth="1"/>
    <col min="10504" max="10512" width="9.140625" style="559"/>
    <col min="10513" max="10513" width="13.7109375" style="559" customWidth="1"/>
    <col min="10514" max="10514" width="15.5703125" style="559" customWidth="1"/>
    <col min="10515" max="10515" width="14.42578125" style="559" bestFit="1" customWidth="1"/>
    <col min="10516" max="10516" width="10.85546875" style="559" bestFit="1" customWidth="1"/>
    <col min="10517" max="10517" width="10.42578125" style="559" customWidth="1"/>
    <col min="10518" max="10518" width="16.140625" style="559" bestFit="1" customWidth="1"/>
    <col min="10519" max="10519" width="12.7109375" style="559" customWidth="1"/>
    <col min="10520" max="10752" width="9.140625" style="559"/>
    <col min="10753" max="10753" width="13.7109375" style="559" customWidth="1"/>
    <col min="10754" max="10754" width="16.85546875" style="559" customWidth="1"/>
    <col min="10755" max="10755" width="14.85546875" style="559" bestFit="1" customWidth="1"/>
    <col min="10756" max="10756" width="11.140625" style="559" bestFit="1" customWidth="1"/>
    <col min="10757" max="10757" width="5.85546875" style="559" bestFit="1" customWidth="1"/>
    <col min="10758" max="10758" width="16.42578125" style="559" bestFit="1" customWidth="1"/>
    <col min="10759" max="10759" width="20" style="559" customWidth="1"/>
    <col min="10760" max="10768" width="9.140625" style="559"/>
    <col min="10769" max="10769" width="13.7109375" style="559" customWidth="1"/>
    <col min="10770" max="10770" width="15.5703125" style="559" customWidth="1"/>
    <col min="10771" max="10771" width="14.42578125" style="559" bestFit="1" customWidth="1"/>
    <col min="10772" max="10772" width="10.85546875" style="559" bestFit="1" customWidth="1"/>
    <col min="10773" max="10773" width="10.42578125" style="559" customWidth="1"/>
    <col min="10774" max="10774" width="16.140625" style="559" bestFit="1" customWidth="1"/>
    <col min="10775" max="10775" width="12.7109375" style="559" customWidth="1"/>
    <col min="10776" max="11008" width="9.140625" style="559"/>
    <col min="11009" max="11009" width="13.7109375" style="559" customWidth="1"/>
    <col min="11010" max="11010" width="16.85546875" style="559" customWidth="1"/>
    <col min="11011" max="11011" width="14.85546875" style="559" bestFit="1" customWidth="1"/>
    <col min="11012" max="11012" width="11.140625" style="559" bestFit="1" customWidth="1"/>
    <col min="11013" max="11013" width="5.85546875" style="559" bestFit="1" customWidth="1"/>
    <col min="11014" max="11014" width="16.42578125" style="559" bestFit="1" customWidth="1"/>
    <col min="11015" max="11015" width="20" style="559" customWidth="1"/>
    <col min="11016" max="11024" width="9.140625" style="559"/>
    <col min="11025" max="11025" width="13.7109375" style="559" customWidth="1"/>
    <col min="11026" max="11026" width="15.5703125" style="559" customWidth="1"/>
    <col min="11027" max="11027" width="14.42578125" style="559" bestFit="1" customWidth="1"/>
    <col min="11028" max="11028" width="10.85546875" style="559" bestFit="1" customWidth="1"/>
    <col min="11029" max="11029" width="10.42578125" style="559" customWidth="1"/>
    <col min="11030" max="11030" width="16.140625" style="559" bestFit="1" customWidth="1"/>
    <col min="11031" max="11031" width="12.7109375" style="559" customWidth="1"/>
    <col min="11032" max="11264" width="9.140625" style="559"/>
    <col min="11265" max="11265" width="13.7109375" style="559" customWidth="1"/>
    <col min="11266" max="11266" width="16.85546875" style="559" customWidth="1"/>
    <col min="11267" max="11267" width="14.85546875" style="559" bestFit="1" customWidth="1"/>
    <col min="11268" max="11268" width="11.140625" style="559" bestFit="1" customWidth="1"/>
    <col min="11269" max="11269" width="5.85546875" style="559" bestFit="1" customWidth="1"/>
    <col min="11270" max="11270" width="16.42578125" style="559" bestFit="1" customWidth="1"/>
    <col min="11271" max="11271" width="20" style="559" customWidth="1"/>
    <col min="11272" max="11280" width="9.140625" style="559"/>
    <col min="11281" max="11281" width="13.7109375" style="559" customWidth="1"/>
    <col min="11282" max="11282" width="15.5703125" style="559" customWidth="1"/>
    <col min="11283" max="11283" width="14.42578125" style="559" bestFit="1" customWidth="1"/>
    <col min="11284" max="11284" width="10.85546875" style="559" bestFit="1" customWidth="1"/>
    <col min="11285" max="11285" width="10.42578125" style="559" customWidth="1"/>
    <col min="11286" max="11286" width="16.140625" style="559" bestFit="1" customWidth="1"/>
    <col min="11287" max="11287" width="12.7109375" style="559" customWidth="1"/>
    <col min="11288" max="11520" width="9.140625" style="559"/>
    <col min="11521" max="11521" width="13.7109375" style="559" customWidth="1"/>
    <col min="11522" max="11522" width="16.85546875" style="559" customWidth="1"/>
    <col min="11523" max="11523" width="14.85546875" style="559" bestFit="1" customWidth="1"/>
    <col min="11524" max="11524" width="11.140625" style="559" bestFit="1" customWidth="1"/>
    <col min="11525" max="11525" width="5.85546875" style="559" bestFit="1" customWidth="1"/>
    <col min="11526" max="11526" width="16.42578125" style="559" bestFit="1" customWidth="1"/>
    <col min="11527" max="11527" width="20" style="559" customWidth="1"/>
    <col min="11528" max="11536" width="9.140625" style="559"/>
    <col min="11537" max="11537" width="13.7109375" style="559" customWidth="1"/>
    <col min="11538" max="11538" width="15.5703125" style="559" customWidth="1"/>
    <col min="11539" max="11539" width="14.42578125" style="559" bestFit="1" customWidth="1"/>
    <col min="11540" max="11540" width="10.85546875" style="559" bestFit="1" customWidth="1"/>
    <col min="11541" max="11541" width="10.42578125" style="559" customWidth="1"/>
    <col min="11542" max="11542" width="16.140625" style="559" bestFit="1" customWidth="1"/>
    <col min="11543" max="11543" width="12.7109375" style="559" customWidth="1"/>
    <col min="11544" max="11776" width="9.140625" style="559"/>
    <col min="11777" max="11777" width="13.7109375" style="559" customWidth="1"/>
    <col min="11778" max="11778" width="16.85546875" style="559" customWidth="1"/>
    <col min="11779" max="11779" width="14.85546875" style="559" bestFit="1" customWidth="1"/>
    <col min="11780" max="11780" width="11.140625" style="559" bestFit="1" customWidth="1"/>
    <col min="11781" max="11781" width="5.85546875" style="559" bestFit="1" customWidth="1"/>
    <col min="11782" max="11782" width="16.42578125" style="559" bestFit="1" customWidth="1"/>
    <col min="11783" max="11783" width="20" style="559" customWidth="1"/>
    <col min="11784" max="11792" width="9.140625" style="559"/>
    <col min="11793" max="11793" width="13.7109375" style="559" customWidth="1"/>
    <col min="11794" max="11794" width="15.5703125" style="559" customWidth="1"/>
    <col min="11795" max="11795" width="14.42578125" style="559" bestFit="1" customWidth="1"/>
    <col min="11796" max="11796" width="10.85546875" style="559" bestFit="1" customWidth="1"/>
    <col min="11797" max="11797" width="10.42578125" style="559" customWidth="1"/>
    <col min="11798" max="11798" width="16.140625" style="559" bestFit="1" customWidth="1"/>
    <col min="11799" max="11799" width="12.7109375" style="559" customWidth="1"/>
    <col min="11800" max="12032" width="9.140625" style="559"/>
    <col min="12033" max="12033" width="13.7109375" style="559" customWidth="1"/>
    <col min="12034" max="12034" width="16.85546875" style="559" customWidth="1"/>
    <col min="12035" max="12035" width="14.85546875" style="559" bestFit="1" customWidth="1"/>
    <col min="12036" max="12036" width="11.140625" style="559" bestFit="1" customWidth="1"/>
    <col min="12037" max="12037" width="5.85546875" style="559" bestFit="1" customWidth="1"/>
    <col min="12038" max="12038" width="16.42578125" style="559" bestFit="1" customWidth="1"/>
    <col min="12039" max="12039" width="20" style="559" customWidth="1"/>
    <col min="12040" max="12048" width="9.140625" style="559"/>
    <col min="12049" max="12049" width="13.7109375" style="559" customWidth="1"/>
    <col min="12050" max="12050" width="15.5703125" style="559" customWidth="1"/>
    <col min="12051" max="12051" width="14.42578125" style="559" bestFit="1" customWidth="1"/>
    <col min="12052" max="12052" width="10.85546875" style="559" bestFit="1" customWidth="1"/>
    <col min="12053" max="12053" width="10.42578125" style="559" customWidth="1"/>
    <col min="12054" max="12054" width="16.140625" style="559" bestFit="1" customWidth="1"/>
    <col min="12055" max="12055" width="12.7109375" style="559" customWidth="1"/>
    <col min="12056" max="12288" width="9.140625" style="559"/>
    <col min="12289" max="12289" width="13.7109375" style="559" customWidth="1"/>
    <col min="12290" max="12290" width="16.85546875" style="559" customWidth="1"/>
    <col min="12291" max="12291" width="14.85546875" style="559" bestFit="1" customWidth="1"/>
    <col min="12292" max="12292" width="11.140625" style="559" bestFit="1" customWidth="1"/>
    <col min="12293" max="12293" width="5.85546875" style="559" bestFit="1" customWidth="1"/>
    <col min="12294" max="12294" width="16.42578125" style="559" bestFit="1" customWidth="1"/>
    <col min="12295" max="12295" width="20" style="559" customWidth="1"/>
    <col min="12296" max="12304" width="9.140625" style="559"/>
    <col min="12305" max="12305" width="13.7109375" style="559" customWidth="1"/>
    <col min="12306" max="12306" width="15.5703125" style="559" customWidth="1"/>
    <col min="12307" max="12307" width="14.42578125" style="559" bestFit="1" customWidth="1"/>
    <col min="12308" max="12308" width="10.85546875" style="559" bestFit="1" customWidth="1"/>
    <col min="12309" max="12309" width="10.42578125" style="559" customWidth="1"/>
    <col min="12310" max="12310" width="16.140625" style="559" bestFit="1" customWidth="1"/>
    <col min="12311" max="12311" width="12.7109375" style="559" customWidth="1"/>
    <col min="12312" max="12544" width="9.140625" style="559"/>
    <col min="12545" max="12545" width="13.7109375" style="559" customWidth="1"/>
    <col min="12546" max="12546" width="16.85546875" style="559" customWidth="1"/>
    <col min="12547" max="12547" width="14.85546875" style="559" bestFit="1" customWidth="1"/>
    <col min="12548" max="12548" width="11.140625" style="559" bestFit="1" customWidth="1"/>
    <col min="12549" max="12549" width="5.85546875" style="559" bestFit="1" customWidth="1"/>
    <col min="12550" max="12550" width="16.42578125" style="559" bestFit="1" customWidth="1"/>
    <col min="12551" max="12551" width="20" style="559" customWidth="1"/>
    <col min="12552" max="12560" width="9.140625" style="559"/>
    <col min="12561" max="12561" width="13.7109375" style="559" customWidth="1"/>
    <col min="12562" max="12562" width="15.5703125" style="559" customWidth="1"/>
    <col min="12563" max="12563" width="14.42578125" style="559" bestFit="1" customWidth="1"/>
    <col min="12564" max="12564" width="10.85546875" style="559" bestFit="1" customWidth="1"/>
    <col min="12565" max="12565" width="10.42578125" style="559" customWidth="1"/>
    <col min="12566" max="12566" width="16.140625" style="559" bestFit="1" customWidth="1"/>
    <col min="12567" max="12567" width="12.7109375" style="559" customWidth="1"/>
    <col min="12568" max="12800" width="9.140625" style="559"/>
    <col min="12801" max="12801" width="13.7109375" style="559" customWidth="1"/>
    <col min="12802" max="12802" width="16.85546875" style="559" customWidth="1"/>
    <col min="12803" max="12803" width="14.85546875" style="559" bestFit="1" customWidth="1"/>
    <col min="12804" max="12804" width="11.140625" style="559" bestFit="1" customWidth="1"/>
    <col min="12805" max="12805" width="5.85546875" style="559" bestFit="1" customWidth="1"/>
    <col min="12806" max="12806" width="16.42578125" style="559" bestFit="1" customWidth="1"/>
    <col min="12807" max="12807" width="20" style="559" customWidth="1"/>
    <col min="12808" max="12816" width="9.140625" style="559"/>
    <col min="12817" max="12817" width="13.7109375" style="559" customWidth="1"/>
    <col min="12818" max="12818" width="15.5703125" style="559" customWidth="1"/>
    <col min="12819" max="12819" width="14.42578125" style="559" bestFit="1" customWidth="1"/>
    <col min="12820" max="12820" width="10.85546875" style="559" bestFit="1" customWidth="1"/>
    <col min="12821" max="12821" width="10.42578125" style="559" customWidth="1"/>
    <col min="12822" max="12822" width="16.140625" style="559" bestFit="1" customWidth="1"/>
    <col min="12823" max="12823" width="12.7109375" style="559" customWidth="1"/>
    <col min="12824" max="13056" width="9.140625" style="559"/>
    <col min="13057" max="13057" width="13.7109375" style="559" customWidth="1"/>
    <col min="13058" max="13058" width="16.85546875" style="559" customWidth="1"/>
    <col min="13059" max="13059" width="14.85546875" style="559" bestFit="1" customWidth="1"/>
    <col min="13060" max="13060" width="11.140625" style="559" bestFit="1" customWidth="1"/>
    <col min="13061" max="13061" width="5.85546875" style="559" bestFit="1" customWidth="1"/>
    <col min="13062" max="13062" width="16.42578125" style="559" bestFit="1" customWidth="1"/>
    <col min="13063" max="13063" width="20" style="559" customWidth="1"/>
    <col min="13064" max="13072" width="9.140625" style="559"/>
    <col min="13073" max="13073" width="13.7109375" style="559" customWidth="1"/>
    <col min="13074" max="13074" width="15.5703125" style="559" customWidth="1"/>
    <col min="13075" max="13075" width="14.42578125" style="559" bestFit="1" customWidth="1"/>
    <col min="13076" max="13076" width="10.85546875" style="559" bestFit="1" customWidth="1"/>
    <col min="13077" max="13077" width="10.42578125" style="559" customWidth="1"/>
    <col min="13078" max="13078" width="16.140625" style="559" bestFit="1" customWidth="1"/>
    <col min="13079" max="13079" width="12.7109375" style="559" customWidth="1"/>
    <col min="13080" max="13312" width="9.140625" style="559"/>
    <col min="13313" max="13313" width="13.7109375" style="559" customWidth="1"/>
    <col min="13314" max="13314" width="16.85546875" style="559" customWidth="1"/>
    <col min="13315" max="13315" width="14.85546875" style="559" bestFit="1" customWidth="1"/>
    <col min="13316" max="13316" width="11.140625" style="559" bestFit="1" customWidth="1"/>
    <col min="13317" max="13317" width="5.85546875" style="559" bestFit="1" customWidth="1"/>
    <col min="13318" max="13318" width="16.42578125" style="559" bestFit="1" customWidth="1"/>
    <col min="13319" max="13319" width="20" style="559" customWidth="1"/>
    <col min="13320" max="13328" width="9.140625" style="559"/>
    <col min="13329" max="13329" width="13.7109375" style="559" customWidth="1"/>
    <col min="13330" max="13330" width="15.5703125" style="559" customWidth="1"/>
    <col min="13331" max="13331" width="14.42578125" style="559" bestFit="1" customWidth="1"/>
    <col min="13332" max="13332" width="10.85546875" style="559" bestFit="1" customWidth="1"/>
    <col min="13333" max="13333" width="10.42578125" style="559" customWidth="1"/>
    <col min="13334" max="13334" width="16.140625" style="559" bestFit="1" customWidth="1"/>
    <col min="13335" max="13335" width="12.7109375" style="559" customWidth="1"/>
    <col min="13336" max="13568" width="9.140625" style="559"/>
    <col min="13569" max="13569" width="13.7109375" style="559" customWidth="1"/>
    <col min="13570" max="13570" width="16.85546875" style="559" customWidth="1"/>
    <col min="13571" max="13571" width="14.85546875" style="559" bestFit="1" customWidth="1"/>
    <col min="13572" max="13572" width="11.140625" style="559" bestFit="1" customWidth="1"/>
    <col min="13573" max="13573" width="5.85546875" style="559" bestFit="1" customWidth="1"/>
    <col min="13574" max="13574" width="16.42578125" style="559" bestFit="1" customWidth="1"/>
    <col min="13575" max="13575" width="20" style="559" customWidth="1"/>
    <col min="13576" max="13584" width="9.140625" style="559"/>
    <col min="13585" max="13585" width="13.7109375" style="559" customWidth="1"/>
    <col min="13586" max="13586" width="15.5703125" style="559" customWidth="1"/>
    <col min="13587" max="13587" width="14.42578125" style="559" bestFit="1" customWidth="1"/>
    <col min="13588" max="13588" width="10.85546875" style="559" bestFit="1" customWidth="1"/>
    <col min="13589" max="13589" width="10.42578125" style="559" customWidth="1"/>
    <col min="13590" max="13590" width="16.140625" style="559" bestFit="1" customWidth="1"/>
    <col min="13591" max="13591" width="12.7109375" style="559" customWidth="1"/>
    <col min="13592" max="13824" width="9.140625" style="559"/>
    <col min="13825" max="13825" width="13.7109375" style="559" customWidth="1"/>
    <col min="13826" max="13826" width="16.85546875" style="559" customWidth="1"/>
    <col min="13827" max="13827" width="14.85546875" style="559" bestFit="1" customWidth="1"/>
    <col min="13828" max="13828" width="11.140625" style="559" bestFit="1" customWidth="1"/>
    <col min="13829" max="13829" width="5.85546875" style="559" bestFit="1" customWidth="1"/>
    <col min="13830" max="13830" width="16.42578125" style="559" bestFit="1" customWidth="1"/>
    <col min="13831" max="13831" width="20" style="559" customWidth="1"/>
    <col min="13832" max="13840" width="9.140625" style="559"/>
    <col min="13841" max="13841" width="13.7109375" style="559" customWidth="1"/>
    <col min="13842" max="13842" width="15.5703125" style="559" customWidth="1"/>
    <col min="13843" max="13843" width="14.42578125" style="559" bestFit="1" customWidth="1"/>
    <col min="13844" max="13844" width="10.85546875" style="559" bestFit="1" customWidth="1"/>
    <col min="13845" max="13845" width="10.42578125" style="559" customWidth="1"/>
    <col min="13846" max="13846" width="16.140625" style="559" bestFit="1" customWidth="1"/>
    <col min="13847" max="13847" width="12.7109375" style="559" customWidth="1"/>
    <col min="13848" max="14080" width="9.140625" style="559"/>
    <col min="14081" max="14081" width="13.7109375" style="559" customWidth="1"/>
    <col min="14082" max="14082" width="16.85546875" style="559" customWidth="1"/>
    <col min="14083" max="14083" width="14.85546875" style="559" bestFit="1" customWidth="1"/>
    <col min="14084" max="14084" width="11.140625" style="559" bestFit="1" customWidth="1"/>
    <col min="14085" max="14085" width="5.85546875" style="559" bestFit="1" customWidth="1"/>
    <col min="14086" max="14086" width="16.42578125" style="559" bestFit="1" customWidth="1"/>
    <col min="14087" max="14087" width="20" style="559" customWidth="1"/>
    <col min="14088" max="14096" width="9.140625" style="559"/>
    <col min="14097" max="14097" width="13.7109375" style="559" customWidth="1"/>
    <col min="14098" max="14098" width="15.5703125" style="559" customWidth="1"/>
    <col min="14099" max="14099" width="14.42578125" style="559" bestFit="1" customWidth="1"/>
    <col min="14100" max="14100" width="10.85546875" style="559" bestFit="1" customWidth="1"/>
    <col min="14101" max="14101" width="10.42578125" style="559" customWidth="1"/>
    <col min="14102" max="14102" width="16.140625" style="559" bestFit="1" customWidth="1"/>
    <col min="14103" max="14103" width="12.7109375" style="559" customWidth="1"/>
    <col min="14104" max="14336" width="9.140625" style="559"/>
    <col min="14337" max="14337" width="13.7109375" style="559" customWidth="1"/>
    <col min="14338" max="14338" width="16.85546875" style="559" customWidth="1"/>
    <col min="14339" max="14339" width="14.85546875" style="559" bestFit="1" customWidth="1"/>
    <col min="14340" max="14340" width="11.140625" style="559" bestFit="1" customWidth="1"/>
    <col min="14341" max="14341" width="5.85546875" style="559" bestFit="1" customWidth="1"/>
    <col min="14342" max="14342" width="16.42578125" style="559" bestFit="1" customWidth="1"/>
    <col min="14343" max="14343" width="20" style="559" customWidth="1"/>
    <col min="14344" max="14352" width="9.140625" style="559"/>
    <col min="14353" max="14353" width="13.7109375" style="559" customWidth="1"/>
    <col min="14354" max="14354" width="15.5703125" style="559" customWidth="1"/>
    <col min="14355" max="14355" width="14.42578125" style="559" bestFit="1" customWidth="1"/>
    <col min="14356" max="14356" width="10.85546875" style="559" bestFit="1" customWidth="1"/>
    <col min="14357" max="14357" width="10.42578125" style="559" customWidth="1"/>
    <col min="14358" max="14358" width="16.140625" style="559" bestFit="1" customWidth="1"/>
    <col min="14359" max="14359" width="12.7109375" style="559" customWidth="1"/>
    <col min="14360" max="14592" width="9.140625" style="559"/>
    <col min="14593" max="14593" width="13.7109375" style="559" customWidth="1"/>
    <col min="14594" max="14594" width="16.85546875" style="559" customWidth="1"/>
    <col min="14595" max="14595" width="14.85546875" style="559" bestFit="1" customWidth="1"/>
    <col min="14596" max="14596" width="11.140625" style="559" bestFit="1" customWidth="1"/>
    <col min="14597" max="14597" width="5.85546875" style="559" bestFit="1" customWidth="1"/>
    <col min="14598" max="14598" width="16.42578125" style="559" bestFit="1" customWidth="1"/>
    <col min="14599" max="14599" width="20" style="559" customWidth="1"/>
    <col min="14600" max="14608" width="9.140625" style="559"/>
    <col min="14609" max="14609" width="13.7109375" style="559" customWidth="1"/>
    <col min="14610" max="14610" width="15.5703125" style="559" customWidth="1"/>
    <col min="14611" max="14611" width="14.42578125" style="559" bestFit="1" customWidth="1"/>
    <col min="14612" max="14612" width="10.85546875" style="559" bestFit="1" customWidth="1"/>
    <col min="14613" max="14613" width="10.42578125" style="559" customWidth="1"/>
    <col min="14614" max="14614" width="16.140625" style="559" bestFit="1" customWidth="1"/>
    <col min="14615" max="14615" width="12.7109375" style="559" customWidth="1"/>
    <col min="14616" max="14848" width="9.140625" style="559"/>
    <col min="14849" max="14849" width="13.7109375" style="559" customWidth="1"/>
    <col min="14850" max="14850" width="16.85546875" style="559" customWidth="1"/>
    <col min="14851" max="14851" width="14.85546875" style="559" bestFit="1" customWidth="1"/>
    <col min="14852" max="14852" width="11.140625" style="559" bestFit="1" customWidth="1"/>
    <col min="14853" max="14853" width="5.85546875" style="559" bestFit="1" customWidth="1"/>
    <col min="14854" max="14854" width="16.42578125" style="559" bestFit="1" customWidth="1"/>
    <col min="14855" max="14855" width="20" style="559" customWidth="1"/>
    <col min="14856" max="14864" width="9.140625" style="559"/>
    <col min="14865" max="14865" width="13.7109375" style="559" customWidth="1"/>
    <col min="14866" max="14866" width="15.5703125" style="559" customWidth="1"/>
    <col min="14867" max="14867" width="14.42578125" style="559" bestFit="1" customWidth="1"/>
    <col min="14868" max="14868" width="10.85546875" style="559" bestFit="1" customWidth="1"/>
    <col min="14869" max="14869" width="10.42578125" style="559" customWidth="1"/>
    <col min="14870" max="14870" width="16.140625" style="559" bestFit="1" customWidth="1"/>
    <col min="14871" max="14871" width="12.7109375" style="559" customWidth="1"/>
    <col min="14872" max="15104" width="9.140625" style="559"/>
    <col min="15105" max="15105" width="13.7109375" style="559" customWidth="1"/>
    <col min="15106" max="15106" width="16.85546875" style="559" customWidth="1"/>
    <col min="15107" max="15107" width="14.85546875" style="559" bestFit="1" customWidth="1"/>
    <col min="15108" max="15108" width="11.140625" style="559" bestFit="1" customWidth="1"/>
    <col min="15109" max="15109" width="5.85546875" style="559" bestFit="1" customWidth="1"/>
    <col min="15110" max="15110" width="16.42578125" style="559" bestFit="1" customWidth="1"/>
    <col min="15111" max="15111" width="20" style="559" customWidth="1"/>
    <col min="15112" max="15120" width="9.140625" style="559"/>
    <col min="15121" max="15121" width="13.7109375" style="559" customWidth="1"/>
    <col min="15122" max="15122" width="15.5703125" style="559" customWidth="1"/>
    <col min="15123" max="15123" width="14.42578125" style="559" bestFit="1" customWidth="1"/>
    <col min="15124" max="15124" width="10.85546875" style="559" bestFit="1" customWidth="1"/>
    <col min="15125" max="15125" width="10.42578125" style="559" customWidth="1"/>
    <col min="15126" max="15126" width="16.140625" style="559" bestFit="1" customWidth="1"/>
    <col min="15127" max="15127" width="12.7109375" style="559" customWidth="1"/>
    <col min="15128" max="15360" width="9.140625" style="559"/>
    <col min="15361" max="15361" width="13.7109375" style="559" customWidth="1"/>
    <col min="15362" max="15362" width="16.85546875" style="559" customWidth="1"/>
    <col min="15363" max="15363" width="14.85546875" style="559" bestFit="1" customWidth="1"/>
    <col min="15364" max="15364" width="11.140625" style="559" bestFit="1" customWidth="1"/>
    <col min="15365" max="15365" width="5.85546875" style="559" bestFit="1" customWidth="1"/>
    <col min="15366" max="15366" width="16.42578125" style="559" bestFit="1" customWidth="1"/>
    <col min="15367" max="15367" width="20" style="559" customWidth="1"/>
    <col min="15368" max="15376" width="9.140625" style="559"/>
    <col min="15377" max="15377" width="13.7109375" style="559" customWidth="1"/>
    <col min="15378" max="15378" width="15.5703125" style="559" customWidth="1"/>
    <col min="15379" max="15379" width="14.42578125" style="559" bestFit="1" customWidth="1"/>
    <col min="15380" max="15380" width="10.85546875" style="559" bestFit="1" customWidth="1"/>
    <col min="15381" max="15381" width="10.42578125" style="559" customWidth="1"/>
    <col min="15382" max="15382" width="16.140625" style="559" bestFit="1" customWidth="1"/>
    <col min="15383" max="15383" width="12.7109375" style="559" customWidth="1"/>
    <col min="15384" max="15616" width="9.140625" style="559"/>
    <col min="15617" max="15617" width="13.7109375" style="559" customWidth="1"/>
    <col min="15618" max="15618" width="16.85546875" style="559" customWidth="1"/>
    <col min="15619" max="15619" width="14.85546875" style="559" bestFit="1" customWidth="1"/>
    <col min="15620" max="15620" width="11.140625" style="559" bestFit="1" customWidth="1"/>
    <col min="15621" max="15621" width="5.85546875" style="559" bestFit="1" customWidth="1"/>
    <col min="15622" max="15622" width="16.42578125" style="559" bestFit="1" customWidth="1"/>
    <col min="15623" max="15623" width="20" style="559" customWidth="1"/>
    <col min="15624" max="15632" width="9.140625" style="559"/>
    <col min="15633" max="15633" width="13.7109375" style="559" customWidth="1"/>
    <col min="15634" max="15634" width="15.5703125" style="559" customWidth="1"/>
    <col min="15635" max="15635" width="14.42578125" style="559" bestFit="1" customWidth="1"/>
    <col min="15636" max="15636" width="10.85546875" style="559" bestFit="1" customWidth="1"/>
    <col min="15637" max="15637" width="10.42578125" style="559" customWidth="1"/>
    <col min="15638" max="15638" width="16.140625" style="559" bestFit="1" customWidth="1"/>
    <col min="15639" max="15639" width="12.7109375" style="559" customWidth="1"/>
    <col min="15640" max="15872" width="9.140625" style="559"/>
    <col min="15873" max="15873" width="13.7109375" style="559" customWidth="1"/>
    <col min="15874" max="15874" width="16.85546875" style="559" customWidth="1"/>
    <col min="15875" max="15875" width="14.85546875" style="559" bestFit="1" customWidth="1"/>
    <col min="15876" max="15876" width="11.140625" style="559" bestFit="1" customWidth="1"/>
    <col min="15877" max="15877" width="5.85546875" style="559" bestFit="1" customWidth="1"/>
    <col min="15878" max="15878" width="16.42578125" style="559" bestFit="1" customWidth="1"/>
    <col min="15879" max="15879" width="20" style="559" customWidth="1"/>
    <col min="15880" max="15888" width="9.140625" style="559"/>
    <col min="15889" max="15889" width="13.7109375" style="559" customWidth="1"/>
    <col min="15890" max="15890" width="15.5703125" style="559" customWidth="1"/>
    <col min="15891" max="15891" width="14.42578125" style="559" bestFit="1" customWidth="1"/>
    <col min="15892" max="15892" width="10.85546875" style="559" bestFit="1" customWidth="1"/>
    <col min="15893" max="15893" width="10.42578125" style="559" customWidth="1"/>
    <col min="15894" max="15894" width="16.140625" style="559" bestFit="1" customWidth="1"/>
    <col min="15895" max="15895" width="12.7109375" style="559" customWidth="1"/>
    <col min="15896" max="16128" width="9.140625" style="559"/>
    <col min="16129" max="16129" width="13.7109375" style="559" customWidth="1"/>
    <col min="16130" max="16130" width="16.85546875" style="559" customWidth="1"/>
    <col min="16131" max="16131" width="14.85546875" style="559" bestFit="1" customWidth="1"/>
    <col min="16132" max="16132" width="11.140625" style="559" bestFit="1" customWidth="1"/>
    <col min="16133" max="16133" width="5.85546875" style="559" bestFit="1" customWidth="1"/>
    <col min="16134" max="16134" width="16.42578125" style="559" bestFit="1" customWidth="1"/>
    <col min="16135" max="16135" width="20" style="559" customWidth="1"/>
    <col min="16136" max="16144" width="9.140625" style="559"/>
    <col min="16145" max="16145" width="13.7109375" style="559" customWidth="1"/>
    <col min="16146" max="16146" width="15.5703125" style="559" customWidth="1"/>
    <col min="16147" max="16147" width="14.42578125" style="559" bestFit="1" customWidth="1"/>
    <col min="16148" max="16148" width="10.85546875" style="559" bestFit="1" customWidth="1"/>
    <col min="16149" max="16149" width="10.42578125" style="559" customWidth="1"/>
    <col min="16150" max="16150" width="16.140625" style="559" bestFit="1" customWidth="1"/>
    <col min="16151" max="16151" width="12.7109375" style="559" customWidth="1"/>
    <col min="16152" max="16384" width="9.140625" style="559"/>
  </cols>
  <sheetData>
    <row r="1" spans="1:7">
      <c r="A1" s="1170" t="s">
        <v>666</v>
      </c>
      <c r="B1" s="1171"/>
      <c r="C1" s="1171"/>
      <c r="D1" s="1171"/>
      <c r="E1" s="1171"/>
      <c r="F1" s="1171"/>
      <c r="G1" s="1172"/>
    </row>
    <row r="2" spans="1:7">
      <c r="A2" s="1167"/>
      <c r="B2" s="1168"/>
      <c r="C2" s="1168"/>
      <c r="D2" s="1168"/>
      <c r="E2" s="1168"/>
      <c r="F2" s="1168"/>
      <c r="G2" s="1173"/>
    </row>
    <row r="3" spans="1:7">
      <c r="A3" s="1174" t="s">
        <v>109</v>
      </c>
      <c r="B3" s="1175"/>
      <c r="C3" s="562" t="s">
        <v>110</v>
      </c>
      <c r="D3" s="562" t="s">
        <v>612</v>
      </c>
      <c r="E3" s="563" t="s">
        <v>111</v>
      </c>
      <c r="F3" s="1176" t="s">
        <v>112</v>
      </c>
      <c r="G3" s="1177"/>
    </row>
    <row r="4" spans="1:7">
      <c r="A4" s="1174"/>
      <c r="B4" s="1175"/>
      <c r="C4" s="562" t="s">
        <v>113</v>
      </c>
      <c r="D4" s="562" t="s">
        <v>113</v>
      </c>
      <c r="E4" s="562" t="s">
        <v>114</v>
      </c>
      <c r="F4" s="1176"/>
      <c r="G4" s="1177"/>
    </row>
    <row r="5" spans="1:7" hidden="1">
      <c r="A5" s="1167" t="s">
        <v>613</v>
      </c>
      <c r="B5" s="1168"/>
      <c r="C5" s="1168"/>
      <c r="D5" s="1168"/>
      <c r="E5" s="1168"/>
      <c r="F5" s="1169"/>
      <c r="G5" s="565"/>
    </row>
    <row r="6" spans="1:7" hidden="1">
      <c r="A6" s="567" t="s">
        <v>614</v>
      </c>
      <c r="B6" s="562"/>
      <c r="C6" s="568">
        <f>(18*20)+7.2</f>
        <v>367.2</v>
      </c>
      <c r="D6" s="569">
        <v>0.1</v>
      </c>
      <c r="E6" s="569">
        <f>D6*C6*0.25</f>
        <v>9.18</v>
      </c>
      <c r="F6" s="564" t="s">
        <v>115</v>
      </c>
      <c r="G6" s="565"/>
    </row>
    <row r="7" spans="1:7" hidden="1">
      <c r="A7" s="567" t="s">
        <v>614</v>
      </c>
      <c r="B7" s="562"/>
      <c r="C7" s="568">
        <v>15</v>
      </c>
      <c r="D7" s="569">
        <v>0.1</v>
      </c>
      <c r="E7" s="569">
        <f>D7*C7</f>
        <v>1.5</v>
      </c>
      <c r="F7" s="564" t="s">
        <v>116</v>
      </c>
      <c r="G7" s="565"/>
    </row>
    <row r="8" spans="1:7" hidden="1">
      <c r="A8" s="1167" t="s">
        <v>615</v>
      </c>
      <c r="B8" s="1168"/>
      <c r="C8" s="1168"/>
      <c r="D8" s="1168"/>
      <c r="E8" s="1168"/>
      <c r="F8" s="1169"/>
      <c r="G8" s="565"/>
    </row>
    <row r="9" spans="1:7" hidden="1">
      <c r="A9" s="567" t="s">
        <v>614</v>
      </c>
      <c r="B9" s="562"/>
      <c r="C9" s="568">
        <f>(20*20)+4.539</f>
        <v>404.53899999999999</v>
      </c>
      <c r="D9" s="569">
        <v>0.1</v>
      </c>
      <c r="E9" s="569">
        <f>D9*C9*0.25</f>
        <v>10.113475000000001</v>
      </c>
      <c r="F9" s="564" t="s">
        <v>115</v>
      </c>
      <c r="G9" s="565"/>
    </row>
    <row r="10" spans="1:7" hidden="1">
      <c r="A10" s="567" t="s">
        <v>614</v>
      </c>
      <c r="B10" s="562"/>
      <c r="C10" s="568">
        <v>15</v>
      </c>
      <c r="D10" s="569">
        <v>0.1</v>
      </c>
      <c r="E10" s="569">
        <f>D10*C10</f>
        <v>1.5</v>
      </c>
      <c r="F10" s="564" t="s">
        <v>116</v>
      </c>
      <c r="G10" s="565"/>
    </row>
    <row r="11" spans="1:7" hidden="1">
      <c r="A11" s="1167" t="s">
        <v>616</v>
      </c>
      <c r="B11" s="1168"/>
      <c r="C11" s="1168"/>
      <c r="D11" s="1168"/>
      <c r="E11" s="1168"/>
      <c r="F11" s="1169"/>
      <c r="G11" s="565"/>
    </row>
    <row r="12" spans="1:7" hidden="1">
      <c r="A12" s="567" t="s">
        <v>614</v>
      </c>
      <c r="B12" s="562"/>
      <c r="C12" s="568">
        <f>(4*20)+9</f>
        <v>89</v>
      </c>
      <c r="D12" s="569">
        <v>0.1</v>
      </c>
      <c r="E12" s="569">
        <f>D12*C12*0.25</f>
        <v>2.2250000000000001</v>
      </c>
      <c r="F12" s="564" t="s">
        <v>115</v>
      </c>
      <c r="G12" s="565"/>
    </row>
    <row r="13" spans="1:7" hidden="1">
      <c r="A13" s="567" t="s">
        <v>614</v>
      </c>
      <c r="B13" s="562"/>
      <c r="C13" s="568">
        <v>45</v>
      </c>
      <c r="D13" s="569">
        <v>0.1</v>
      </c>
      <c r="E13" s="569">
        <f>D13*C13</f>
        <v>4.5</v>
      </c>
      <c r="F13" s="564" t="s">
        <v>116</v>
      </c>
      <c r="G13" s="565"/>
    </row>
    <row r="14" spans="1:7" hidden="1">
      <c r="A14" s="1167" t="s">
        <v>617</v>
      </c>
      <c r="B14" s="1168"/>
      <c r="C14" s="1168"/>
      <c r="D14" s="1168"/>
      <c r="E14" s="1168"/>
      <c r="F14" s="1169"/>
      <c r="G14" s="565"/>
    </row>
    <row r="15" spans="1:7" hidden="1">
      <c r="A15" s="567" t="s">
        <v>614</v>
      </c>
      <c r="B15" s="562"/>
      <c r="C15" s="568">
        <f>(3*20)+14.23</f>
        <v>74.23</v>
      </c>
      <c r="D15" s="569">
        <v>0.1</v>
      </c>
      <c r="E15" s="569">
        <f>D15*C15*0.25</f>
        <v>1.8557500000000002</v>
      </c>
      <c r="F15" s="564" t="s">
        <v>115</v>
      </c>
      <c r="G15" s="565"/>
    </row>
    <row r="16" spans="1:7" hidden="1">
      <c r="A16" s="567" t="s">
        <v>614</v>
      </c>
      <c r="B16" s="562"/>
      <c r="C16" s="568">
        <v>30</v>
      </c>
      <c r="D16" s="569">
        <v>0.1</v>
      </c>
      <c r="E16" s="569">
        <f>D16*C16</f>
        <v>3</v>
      </c>
      <c r="F16" s="564" t="s">
        <v>116</v>
      </c>
      <c r="G16" s="565"/>
    </row>
    <row r="17" spans="1:7" hidden="1">
      <c r="A17" s="1167" t="s">
        <v>618</v>
      </c>
      <c r="B17" s="1168"/>
      <c r="C17" s="1168"/>
      <c r="D17" s="1168"/>
      <c r="E17" s="1168"/>
      <c r="F17" s="1169"/>
      <c r="G17" s="565"/>
    </row>
    <row r="18" spans="1:7" hidden="1">
      <c r="A18" s="567" t="s">
        <v>614</v>
      </c>
      <c r="B18" s="562"/>
      <c r="C18" s="568">
        <f>(11*20)+10.8</f>
        <v>230.8</v>
      </c>
      <c r="D18" s="569">
        <v>0.1</v>
      </c>
      <c r="E18" s="569">
        <f>D18*C18*0.25</f>
        <v>5.7700000000000005</v>
      </c>
      <c r="F18" s="564" t="s">
        <v>115</v>
      </c>
      <c r="G18" s="565"/>
    </row>
    <row r="19" spans="1:7" hidden="1">
      <c r="A19" s="567" t="s">
        <v>614</v>
      </c>
      <c r="B19" s="562"/>
      <c r="C19" s="568">
        <f>4*15</f>
        <v>60</v>
      </c>
      <c r="D19" s="569">
        <v>0.1</v>
      </c>
      <c r="E19" s="569">
        <f>D19*C19</f>
        <v>6</v>
      </c>
      <c r="F19" s="564" t="s">
        <v>116</v>
      </c>
      <c r="G19" s="565"/>
    </row>
    <row r="20" spans="1:7" hidden="1">
      <c r="A20" s="1167" t="s">
        <v>619</v>
      </c>
      <c r="B20" s="1168"/>
      <c r="C20" s="1168"/>
      <c r="D20" s="1168"/>
      <c r="E20" s="1168"/>
      <c r="F20" s="1169"/>
      <c r="G20" s="565"/>
    </row>
    <row r="21" spans="1:7" hidden="1">
      <c r="A21" s="567" t="s">
        <v>614</v>
      </c>
      <c r="B21" s="562"/>
      <c r="C21" s="568">
        <f>(16*20)</f>
        <v>320</v>
      </c>
      <c r="D21" s="569">
        <v>0.1</v>
      </c>
      <c r="E21" s="569">
        <f>D21*C21*0.25</f>
        <v>8</v>
      </c>
      <c r="F21" s="564" t="s">
        <v>115</v>
      </c>
      <c r="G21" s="565"/>
    </row>
    <row r="22" spans="1:7" hidden="1">
      <c r="A22" s="567" t="s">
        <v>614</v>
      </c>
      <c r="B22" s="562"/>
      <c r="C22" s="568">
        <v>15</v>
      </c>
      <c r="D22" s="569">
        <v>0.1</v>
      </c>
      <c r="E22" s="569">
        <f>D22*C22</f>
        <v>1.5</v>
      </c>
      <c r="F22" s="564" t="s">
        <v>116</v>
      </c>
      <c r="G22" s="565"/>
    </row>
    <row r="23" spans="1:7" hidden="1">
      <c r="A23" s="1167" t="s">
        <v>620</v>
      </c>
      <c r="B23" s="1168"/>
      <c r="C23" s="1168"/>
      <c r="D23" s="1168"/>
      <c r="E23" s="1168"/>
      <c r="F23" s="1169"/>
      <c r="G23" s="565"/>
    </row>
    <row r="24" spans="1:7" hidden="1">
      <c r="A24" s="567" t="s">
        <v>614</v>
      </c>
      <c r="B24" s="562"/>
      <c r="C24" s="568">
        <f>(31*20)</f>
        <v>620</v>
      </c>
      <c r="D24" s="569">
        <v>0.1</v>
      </c>
      <c r="E24" s="569">
        <f>D24*C24*0.25</f>
        <v>15.5</v>
      </c>
      <c r="F24" s="564" t="s">
        <v>115</v>
      </c>
      <c r="G24" s="565"/>
    </row>
    <row r="25" spans="1:7" hidden="1">
      <c r="A25" s="567" t="s">
        <v>614</v>
      </c>
      <c r="B25" s="562"/>
      <c r="C25" s="568">
        <v>15</v>
      </c>
      <c r="D25" s="569">
        <v>0.1</v>
      </c>
      <c r="E25" s="569">
        <f>D25*C25</f>
        <v>1.5</v>
      </c>
      <c r="F25" s="564" t="s">
        <v>116</v>
      </c>
      <c r="G25" s="565"/>
    </row>
    <row r="26" spans="1:7" hidden="1">
      <c r="A26" s="1167" t="s">
        <v>621</v>
      </c>
      <c r="B26" s="1168"/>
      <c r="C26" s="1168"/>
      <c r="D26" s="1168"/>
      <c r="E26" s="1168"/>
      <c r="F26" s="1169"/>
      <c r="G26" s="565"/>
    </row>
    <row r="27" spans="1:7" hidden="1">
      <c r="A27" s="567" t="s">
        <v>614</v>
      </c>
      <c r="B27" s="562"/>
      <c r="C27" s="568">
        <f>(3*20)+10.5</f>
        <v>70.5</v>
      </c>
      <c r="D27" s="569">
        <v>0.1</v>
      </c>
      <c r="E27" s="569">
        <f>D27*C27*0.25</f>
        <v>1.7625000000000002</v>
      </c>
      <c r="F27" s="564" t="s">
        <v>115</v>
      </c>
      <c r="G27" s="565"/>
    </row>
    <row r="28" spans="1:7" hidden="1">
      <c r="A28" s="567" t="s">
        <v>614</v>
      </c>
      <c r="B28" s="562"/>
      <c r="C28" s="568">
        <v>15</v>
      </c>
      <c r="D28" s="569">
        <v>0.1</v>
      </c>
      <c r="E28" s="569">
        <f>D28*C28</f>
        <v>1.5</v>
      </c>
      <c r="F28" s="564" t="s">
        <v>116</v>
      </c>
      <c r="G28" s="565"/>
    </row>
    <row r="29" spans="1:7" hidden="1">
      <c r="A29" s="1167" t="s">
        <v>622</v>
      </c>
      <c r="B29" s="1168"/>
      <c r="C29" s="1168"/>
      <c r="D29" s="1168"/>
      <c r="E29" s="1168"/>
      <c r="F29" s="1169"/>
      <c r="G29" s="565"/>
    </row>
    <row r="30" spans="1:7" hidden="1">
      <c r="A30" s="567" t="s">
        <v>614</v>
      </c>
      <c r="B30" s="562"/>
      <c r="C30" s="568">
        <f>(3*20)+10.6</f>
        <v>70.599999999999994</v>
      </c>
      <c r="D30" s="569">
        <v>0.1</v>
      </c>
      <c r="E30" s="569">
        <f>D30*C30*0.25</f>
        <v>1.7649999999999999</v>
      </c>
      <c r="F30" s="564" t="s">
        <v>115</v>
      </c>
      <c r="G30" s="565"/>
    </row>
    <row r="31" spans="1:7" hidden="1">
      <c r="A31" s="567" t="s">
        <v>614</v>
      </c>
      <c r="B31" s="562"/>
      <c r="C31" s="568">
        <v>15</v>
      </c>
      <c r="D31" s="569">
        <v>0.1</v>
      </c>
      <c r="E31" s="569">
        <f>D31*C31</f>
        <v>1.5</v>
      </c>
      <c r="F31" s="564" t="s">
        <v>116</v>
      </c>
      <c r="G31" s="565"/>
    </row>
    <row r="32" spans="1:7" hidden="1">
      <c r="A32" s="1167" t="s">
        <v>623</v>
      </c>
      <c r="B32" s="1168"/>
      <c r="C32" s="1168"/>
      <c r="D32" s="1168"/>
      <c r="E32" s="1168"/>
      <c r="F32" s="1169"/>
      <c r="G32" s="565"/>
    </row>
    <row r="33" spans="1:7" hidden="1">
      <c r="A33" s="567" t="s">
        <v>614</v>
      </c>
      <c r="B33" s="562"/>
      <c r="C33" s="568">
        <f>(30*20)+5.16</f>
        <v>605.16</v>
      </c>
      <c r="D33" s="569">
        <v>0.1</v>
      </c>
      <c r="E33" s="569">
        <f>D33*C33*0.25</f>
        <v>15.129</v>
      </c>
      <c r="F33" s="564" t="s">
        <v>115</v>
      </c>
      <c r="G33" s="565"/>
    </row>
    <row r="34" spans="1:7" hidden="1">
      <c r="A34" s="567" t="s">
        <v>614</v>
      </c>
      <c r="B34" s="562"/>
      <c r="C34" s="568">
        <v>15</v>
      </c>
      <c r="D34" s="569">
        <v>0.1</v>
      </c>
      <c r="E34" s="569">
        <f>D34*C34</f>
        <v>1.5</v>
      </c>
      <c r="F34" s="564" t="s">
        <v>116</v>
      </c>
      <c r="G34" s="565"/>
    </row>
    <row r="35" spans="1:7" hidden="1">
      <c r="A35" s="1167" t="s">
        <v>624</v>
      </c>
      <c r="B35" s="1168"/>
      <c r="C35" s="1168"/>
      <c r="D35" s="1168"/>
      <c r="E35" s="1168"/>
      <c r="F35" s="1169"/>
      <c r="G35" s="565"/>
    </row>
    <row r="36" spans="1:7" hidden="1">
      <c r="A36" s="567" t="s">
        <v>614</v>
      </c>
      <c r="B36" s="562"/>
      <c r="C36" s="568">
        <f>(6*20)+6</f>
        <v>126</v>
      </c>
      <c r="D36" s="569">
        <v>0.1</v>
      </c>
      <c r="E36" s="569">
        <f>D36*C36*0.25</f>
        <v>3.1500000000000004</v>
      </c>
      <c r="F36" s="564" t="s">
        <v>115</v>
      </c>
      <c r="G36" s="565"/>
    </row>
    <row r="37" spans="1:7" hidden="1">
      <c r="A37" s="567" t="s">
        <v>614</v>
      </c>
      <c r="B37" s="562"/>
      <c r="C37" s="568">
        <v>15</v>
      </c>
      <c r="D37" s="569">
        <v>0.1</v>
      </c>
      <c r="E37" s="569">
        <f>D37*C37</f>
        <v>1.5</v>
      </c>
      <c r="F37" s="564" t="s">
        <v>116</v>
      </c>
      <c r="G37" s="565"/>
    </row>
    <row r="38" spans="1:7">
      <c r="A38" s="1167" t="s">
        <v>653</v>
      </c>
      <c r="B38" s="1168"/>
      <c r="C38" s="1168"/>
      <c r="D38" s="1168"/>
      <c r="E38" s="1168"/>
      <c r="F38" s="1169"/>
      <c r="G38" s="565"/>
    </row>
    <row r="39" spans="1:7">
      <c r="A39" s="1167" t="s">
        <v>625</v>
      </c>
      <c r="B39" s="1168"/>
      <c r="C39" s="1168"/>
      <c r="D39" s="1168"/>
      <c r="E39" s="1168"/>
      <c r="F39" s="1169"/>
      <c r="G39" s="565"/>
    </row>
    <row r="40" spans="1:7">
      <c r="A40" s="567" t="s">
        <v>614</v>
      </c>
      <c r="B40" s="562"/>
      <c r="C40" s="568">
        <f>2*(4*20)</f>
        <v>160</v>
      </c>
      <c r="D40" s="569">
        <v>0.15</v>
      </c>
      <c r="E40" s="569">
        <f>D40*C40</f>
        <v>24</v>
      </c>
      <c r="F40" s="564" t="s">
        <v>116</v>
      </c>
      <c r="G40" s="565"/>
    </row>
    <row r="41" spans="1:7">
      <c r="A41" s="1167" t="s">
        <v>626</v>
      </c>
      <c r="B41" s="1168"/>
      <c r="C41" s="1168"/>
      <c r="D41" s="1168"/>
      <c r="E41" s="1168"/>
      <c r="F41" s="1169"/>
      <c r="G41" s="565"/>
    </row>
    <row r="42" spans="1:7">
      <c r="A42" s="567" t="s">
        <v>614</v>
      </c>
      <c r="B42" s="562"/>
      <c r="C42" s="568">
        <f>(4*20)-C43</f>
        <v>50</v>
      </c>
      <c r="D42" s="569">
        <v>0.15</v>
      </c>
      <c r="E42" s="569">
        <f>D42*C42*0.25</f>
        <v>1.875</v>
      </c>
      <c r="F42" s="564" t="s">
        <v>115</v>
      </c>
      <c r="G42" s="565"/>
    </row>
    <row r="43" spans="1:7">
      <c r="A43" s="567" t="s">
        <v>614</v>
      </c>
      <c r="B43" s="562"/>
      <c r="C43" s="568">
        <v>30</v>
      </c>
      <c r="D43" s="569">
        <v>0.15</v>
      </c>
      <c r="E43" s="569">
        <f>D43*C43</f>
        <v>4.5</v>
      </c>
      <c r="F43" s="564" t="s">
        <v>116</v>
      </c>
      <c r="G43" s="565"/>
    </row>
    <row r="44" spans="1:7">
      <c r="A44" s="1167" t="s">
        <v>654</v>
      </c>
      <c r="B44" s="1168"/>
      <c r="C44" s="1168"/>
      <c r="D44" s="1168"/>
      <c r="E44" s="1168"/>
      <c r="F44" s="1169"/>
      <c r="G44" s="565"/>
    </row>
    <row r="45" spans="1:7">
      <c r="A45" s="1167" t="s">
        <v>625</v>
      </c>
      <c r="B45" s="1168"/>
      <c r="C45" s="1168"/>
      <c r="D45" s="1168"/>
      <c r="E45" s="1168"/>
      <c r="F45" s="1169"/>
      <c r="G45" s="565"/>
    </row>
    <row r="46" spans="1:7">
      <c r="A46" s="567" t="s">
        <v>614</v>
      </c>
      <c r="B46" s="562"/>
      <c r="C46" s="568">
        <f>2*268.24</f>
        <v>536.48</v>
      </c>
      <c r="D46" s="569">
        <v>0.1</v>
      </c>
      <c r="E46" s="569">
        <f>D46*C46</f>
        <v>53.648000000000003</v>
      </c>
      <c r="F46" s="564" t="s">
        <v>116</v>
      </c>
      <c r="G46" s="565"/>
    </row>
    <row r="47" spans="1:7">
      <c r="A47" s="560"/>
      <c r="B47" s="561"/>
      <c r="C47" s="561"/>
      <c r="D47" s="561"/>
      <c r="E47" s="561"/>
      <c r="F47" s="566"/>
      <c r="G47" s="565"/>
    </row>
    <row r="48" spans="1:7">
      <c r="A48" s="567" t="s">
        <v>614</v>
      </c>
      <c r="B48" s="562"/>
      <c r="C48" s="568">
        <f>268.24-C49</f>
        <v>238.24</v>
      </c>
      <c r="D48" s="569">
        <v>0.15</v>
      </c>
      <c r="E48" s="569">
        <f>D48*C48*0.25</f>
        <v>8.9339999999999993</v>
      </c>
      <c r="F48" s="564" t="s">
        <v>115</v>
      </c>
      <c r="G48" s="565"/>
    </row>
    <row r="49" spans="1:9">
      <c r="A49" s="567" t="s">
        <v>614</v>
      </c>
      <c r="B49" s="562"/>
      <c r="C49" s="568">
        <v>30</v>
      </c>
      <c r="D49" s="569">
        <v>0.15</v>
      </c>
      <c r="E49" s="569">
        <f>D49*C49</f>
        <v>4.5</v>
      </c>
      <c r="F49" s="564" t="s">
        <v>116</v>
      </c>
      <c r="G49" s="565"/>
    </row>
    <row r="50" spans="1:9">
      <c r="A50" s="1167" t="s">
        <v>652</v>
      </c>
      <c r="B50" s="1168"/>
      <c r="C50" s="1168"/>
      <c r="D50" s="1168"/>
      <c r="E50" s="1168"/>
      <c r="F50" s="1169"/>
      <c r="G50" s="565"/>
    </row>
    <row r="51" spans="1:9">
      <c r="A51" s="1167" t="s">
        <v>625</v>
      </c>
      <c r="B51" s="1168"/>
      <c r="C51" s="1168"/>
      <c r="D51" s="1168"/>
      <c r="E51" s="1168"/>
      <c r="F51" s="1169"/>
      <c r="G51" s="565"/>
    </row>
    <row r="52" spans="1:9">
      <c r="A52" s="567" t="s">
        <v>614</v>
      </c>
      <c r="B52" s="562"/>
      <c r="C52" s="568">
        <f>2*159</f>
        <v>318</v>
      </c>
      <c r="D52" s="569">
        <v>0.15</v>
      </c>
      <c r="E52" s="569">
        <f>D52*C52</f>
        <v>47.699999999999996</v>
      </c>
      <c r="F52" s="564" t="s">
        <v>116</v>
      </c>
      <c r="G52" s="565"/>
    </row>
    <row r="53" spans="1:9">
      <c r="A53" s="560"/>
      <c r="B53" s="561"/>
      <c r="C53" s="561"/>
      <c r="D53" s="561"/>
      <c r="E53" s="561"/>
      <c r="F53" s="566"/>
      <c r="G53" s="565"/>
    </row>
    <row r="54" spans="1:9">
      <c r="A54" s="567" t="s">
        <v>614</v>
      </c>
      <c r="B54" s="562"/>
      <c r="C54" s="568">
        <f>159-C55</f>
        <v>129</v>
      </c>
      <c r="D54" s="569">
        <v>0.15</v>
      </c>
      <c r="E54" s="569">
        <f>D54*C54*0.25</f>
        <v>4.8374999999999995</v>
      </c>
      <c r="F54" s="564" t="s">
        <v>115</v>
      </c>
      <c r="G54" s="565"/>
    </row>
    <row r="55" spans="1:9">
      <c r="A55" s="567" t="s">
        <v>614</v>
      </c>
      <c r="B55" s="562"/>
      <c r="C55" s="568">
        <v>30</v>
      </c>
      <c r="D55" s="569">
        <v>0.15</v>
      </c>
      <c r="E55" s="569">
        <f>D55*C55</f>
        <v>4.5</v>
      </c>
      <c r="F55" s="564" t="s">
        <v>116</v>
      </c>
      <c r="G55" s="565"/>
    </row>
    <row r="56" spans="1:9">
      <c r="A56" s="1167"/>
      <c r="B56" s="1168"/>
      <c r="C56" s="1168"/>
      <c r="D56" s="1168"/>
      <c r="E56" s="1168"/>
      <c r="F56" s="1168"/>
      <c r="G56" s="1173"/>
    </row>
    <row r="57" spans="1:9" ht="15.75">
      <c r="A57" s="1180" t="s">
        <v>627</v>
      </c>
      <c r="B57" s="1181"/>
      <c r="C57" s="1181"/>
      <c r="D57" s="1181"/>
      <c r="E57" s="1181"/>
      <c r="F57" s="1181"/>
      <c r="G57" s="1182"/>
    </row>
    <row r="58" spans="1:9">
      <c r="A58" s="570" t="s">
        <v>628</v>
      </c>
      <c r="B58" s="562" t="s">
        <v>16</v>
      </c>
      <c r="C58" s="444">
        <f>C42+C48+C54</f>
        <v>417.24</v>
      </c>
      <c r="D58" s="445" t="s">
        <v>8</v>
      </c>
      <c r="E58" s="446" t="s">
        <v>111</v>
      </c>
      <c r="F58" s="444">
        <f>E42+E48+E54</f>
        <v>15.6465</v>
      </c>
      <c r="G58" s="571" t="s">
        <v>6</v>
      </c>
      <c r="I58" s="572"/>
    </row>
    <row r="59" spans="1:9">
      <c r="A59" s="570" t="s">
        <v>116</v>
      </c>
      <c r="B59" s="562" t="s">
        <v>629</v>
      </c>
      <c r="C59" s="573">
        <f>C43+C49+C55</f>
        <v>90</v>
      </c>
      <c r="D59" s="574" t="s">
        <v>8</v>
      </c>
      <c r="E59" s="575" t="s">
        <v>111</v>
      </c>
      <c r="F59" s="444">
        <f>E43+E49+E55</f>
        <v>13.5</v>
      </c>
      <c r="G59" s="571" t="s">
        <v>6</v>
      </c>
    </row>
    <row r="60" spans="1:9">
      <c r="A60" s="1183" t="s">
        <v>630</v>
      </c>
      <c r="B60" s="1184"/>
      <c r="C60" s="573">
        <f>SUM(C58:C59)</f>
        <v>507.24</v>
      </c>
      <c r="D60" s="574" t="s">
        <v>8</v>
      </c>
      <c r="E60" s="575"/>
      <c r="F60" s="444">
        <f>SUM(F58:F59)</f>
        <v>29.1465</v>
      </c>
      <c r="G60" s="571" t="s">
        <v>6</v>
      </c>
    </row>
    <row r="61" spans="1:9">
      <c r="A61" s="570"/>
      <c r="B61" s="562"/>
      <c r="C61" s="575"/>
      <c r="D61" s="575"/>
      <c r="E61" s="575"/>
      <c r="F61" s="576"/>
      <c r="G61" s="577"/>
    </row>
    <row r="62" spans="1:9" ht="15.75">
      <c r="A62" s="1185" t="s">
        <v>631</v>
      </c>
      <c r="B62" s="1186"/>
      <c r="C62" s="1186"/>
      <c r="D62" s="1186"/>
      <c r="E62" s="575"/>
      <c r="F62" s="575"/>
      <c r="G62" s="578"/>
    </row>
    <row r="63" spans="1:9">
      <c r="A63" s="1178" t="s">
        <v>632</v>
      </c>
      <c r="B63" s="1179"/>
      <c r="C63" s="581">
        <f>C58*2*0.1</f>
        <v>83.448000000000008</v>
      </c>
      <c r="D63" s="580" t="s">
        <v>6</v>
      </c>
      <c r="E63" s="575"/>
      <c r="F63" s="575"/>
      <c r="G63" s="582"/>
    </row>
    <row r="64" spans="1:9">
      <c r="A64" s="1178" t="s">
        <v>633</v>
      </c>
      <c r="B64" s="1179"/>
      <c r="C64" s="581">
        <f>(4*0.4)*6</f>
        <v>9.6000000000000014</v>
      </c>
      <c r="D64" s="580" t="s">
        <v>6</v>
      </c>
      <c r="E64" s="575"/>
      <c r="F64" s="575"/>
      <c r="G64" s="578"/>
    </row>
    <row r="65" spans="1:7">
      <c r="A65" s="1178" t="s">
        <v>634</v>
      </c>
      <c r="B65" s="1179"/>
      <c r="C65" s="583">
        <f>E40+E46+E52</f>
        <v>125.34799999999998</v>
      </c>
      <c r="D65" s="580" t="s">
        <v>6</v>
      </c>
      <c r="E65" s="575"/>
      <c r="F65" s="575"/>
      <c r="G65" s="578"/>
    </row>
    <row r="66" spans="1:7">
      <c r="A66" s="1178" t="s">
        <v>635</v>
      </c>
      <c r="B66" s="1179"/>
      <c r="C66" s="583">
        <f>F58</f>
        <v>15.6465</v>
      </c>
      <c r="D66" s="580" t="s">
        <v>6</v>
      </c>
      <c r="E66" s="575"/>
      <c r="F66" s="575"/>
      <c r="G66" s="578"/>
    </row>
    <row r="67" spans="1:7">
      <c r="A67" s="579" t="s">
        <v>636</v>
      </c>
      <c r="B67" s="580"/>
      <c r="C67" s="581">
        <f>F59</f>
        <v>13.5</v>
      </c>
      <c r="D67" s="580" t="s">
        <v>6</v>
      </c>
      <c r="E67" s="575"/>
      <c r="F67" s="575"/>
      <c r="G67" s="578"/>
    </row>
    <row r="68" spans="1:7">
      <c r="A68" s="579" t="s">
        <v>117</v>
      </c>
      <c r="B68" s="580"/>
      <c r="C68" s="581">
        <f>C63+C64+C66+C67+C65</f>
        <v>247.54249999999999</v>
      </c>
      <c r="D68" s="580" t="s">
        <v>6</v>
      </c>
      <c r="E68" s="562"/>
      <c r="F68" s="562"/>
      <c r="G68" s="578"/>
    </row>
    <row r="69" spans="1:7" ht="13.5" thickBot="1">
      <c r="A69" s="584" t="s">
        <v>637</v>
      </c>
      <c r="B69" s="585"/>
      <c r="C69" s="586">
        <f>3.89*6</f>
        <v>23.34</v>
      </c>
      <c r="D69" s="587" t="s">
        <v>6</v>
      </c>
      <c r="E69" s="585"/>
      <c r="F69" s="585"/>
      <c r="G69" s="588"/>
    </row>
  </sheetData>
  <mergeCells count="31">
    <mergeCell ref="A66:B66"/>
    <mergeCell ref="A57:G57"/>
    <mergeCell ref="A60:B60"/>
    <mergeCell ref="A62:D62"/>
    <mergeCell ref="A63:B63"/>
    <mergeCell ref="A64:B64"/>
    <mergeCell ref="A65:B65"/>
    <mergeCell ref="A56:G56"/>
    <mergeCell ref="A26:F26"/>
    <mergeCell ref="A29:F29"/>
    <mergeCell ref="A32:F32"/>
    <mergeCell ref="A35:F35"/>
    <mergeCell ref="A38:F38"/>
    <mergeCell ref="A39:F39"/>
    <mergeCell ref="A41:F41"/>
    <mergeCell ref="A44:F44"/>
    <mergeCell ref="A45:F45"/>
    <mergeCell ref="A50:F50"/>
    <mergeCell ref="A51:F51"/>
    <mergeCell ref="A23:F23"/>
    <mergeCell ref="A1:G1"/>
    <mergeCell ref="A2:G2"/>
    <mergeCell ref="A3:B4"/>
    <mergeCell ref="F3:F4"/>
    <mergeCell ref="G3:G4"/>
    <mergeCell ref="A5:F5"/>
    <mergeCell ref="A8:F8"/>
    <mergeCell ref="A11:F11"/>
    <mergeCell ref="A14:F14"/>
    <mergeCell ref="A17:F17"/>
    <mergeCell ref="A20:F20"/>
  </mergeCells>
  <pageMargins left="0.511811024" right="0.511811024" top="0.78740157499999996" bottom="0.78740157499999996" header="0.31496062000000002" footer="0.31496062000000002"/>
  <pageSetup paperSize="8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2949E-36B8-4464-A183-70D79506D37F}">
  <sheetPr>
    <tabColor rgb="FF00B050"/>
  </sheetPr>
  <dimension ref="A1:F19"/>
  <sheetViews>
    <sheetView zoomScale="60" zoomScaleNormal="60" workbookViewId="0">
      <selection activeCell="E21" sqref="E21"/>
    </sheetView>
  </sheetViews>
  <sheetFormatPr defaultRowHeight="12.75"/>
  <cols>
    <col min="1" max="1" width="75.42578125" style="559" bestFit="1" customWidth="1"/>
    <col min="2" max="2" width="19.7109375" style="559" bestFit="1" customWidth="1"/>
    <col min="3" max="3" width="14.28515625" style="559" customWidth="1"/>
    <col min="4" max="4" width="16.5703125" style="559" bestFit="1" customWidth="1"/>
    <col min="5" max="5" width="13.7109375" style="559" bestFit="1" customWidth="1"/>
    <col min="6" max="6" width="19.85546875" style="559" bestFit="1" customWidth="1"/>
    <col min="7" max="7" width="40.28515625" style="559" customWidth="1"/>
    <col min="8" max="8" width="25.7109375" style="559" customWidth="1"/>
    <col min="9" max="9" width="15.7109375" style="559" customWidth="1"/>
    <col min="10" max="10" width="18.7109375" style="559" customWidth="1"/>
    <col min="11" max="11" width="27.42578125" style="559" customWidth="1"/>
    <col min="12" max="12" width="14.42578125" style="559" bestFit="1" customWidth="1"/>
    <col min="13" max="256" width="9.140625" style="559"/>
    <col min="257" max="257" width="75.42578125" style="559" bestFit="1" customWidth="1"/>
    <col min="258" max="258" width="19.7109375" style="559" bestFit="1" customWidth="1"/>
    <col min="259" max="259" width="14.28515625" style="559" customWidth="1"/>
    <col min="260" max="260" width="16.5703125" style="559" bestFit="1" customWidth="1"/>
    <col min="261" max="261" width="13.7109375" style="559" bestFit="1" customWidth="1"/>
    <col min="262" max="262" width="19.85546875" style="559" bestFit="1" customWidth="1"/>
    <col min="263" max="263" width="40.28515625" style="559" customWidth="1"/>
    <col min="264" max="264" width="25.7109375" style="559" customWidth="1"/>
    <col min="265" max="265" width="15.7109375" style="559" customWidth="1"/>
    <col min="266" max="266" width="18.7109375" style="559" customWidth="1"/>
    <col min="267" max="267" width="27.42578125" style="559" customWidth="1"/>
    <col min="268" max="268" width="14.42578125" style="559" bestFit="1" customWidth="1"/>
    <col min="269" max="512" width="9.140625" style="559"/>
    <col min="513" max="513" width="75.42578125" style="559" bestFit="1" customWidth="1"/>
    <col min="514" max="514" width="19.7109375" style="559" bestFit="1" customWidth="1"/>
    <col min="515" max="515" width="14.28515625" style="559" customWidth="1"/>
    <col min="516" max="516" width="16.5703125" style="559" bestFit="1" customWidth="1"/>
    <col min="517" max="517" width="13.7109375" style="559" bestFit="1" customWidth="1"/>
    <col min="518" max="518" width="19.85546875" style="559" bestFit="1" customWidth="1"/>
    <col min="519" max="519" width="40.28515625" style="559" customWidth="1"/>
    <col min="520" max="520" width="25.7109375" style="559" customWidth="1"/>
    <col min="521" max="521" width="15.7109375" style="559" customWidth="1"/>
    <col min="522" max="522" width="18.7109375" style="559" customWidth="1"/>
    <col min="523" max="523" width="27.42578125" style="559" customWidth="1"/>
    <col min="524" max="524" width="14.42578125" style="559" bestFit="1" customWidth="1"/>
    <col min="525" max="768" width="9.140625" style="559"/>
    <col min="769" max="769" width="75.42578125" style="559" bestFit="1" customWidth="1"/>
    <col min="770" max="770" width="19.7109375" style="559" bestFit="1" customWidth="1"/>
    <col min="771" max="771" width="14.28515625" style="559" customWidth="1"/>
    <col min="772" max="772" width="16.5703125" style="559" bestFit="1" customWidth="1"/>
    <col min="773" max="773" width="13.7109375" style="559" bestFit="1" customWidth="1"/>
    <col min="774" max="774" width="19.85546875" style="559" bestFit="1" customWidth="1"/>
    <col min="775" max="775" width="40.28515625" style="559" customWidth="1"/>
    <col min="776" max="776" width="25.7109375" style="559" customWidth="1"/>
    <col min="777" max="777" width="15.7109375" style="559" customWidth="1"/>
    <col min="778" max="778" width="18.7109375" style="559" customWidth="1"/>
    <col min="779" max="779" width="27.42578125" style="559" customWidth="1"/>
    <col min="780" max="780" width="14.42578125" style="559" bestFit="1" customWidth="1"/>
    <col min="781" max="1024" width="9.140625" style="559"/>
    <col min="1025" max="1025" width="75.42578125" style="559" bestFit="1" customWidth="1"/>
    <col min="1026" max="1026" width="19.7109375" style="559" bestFit="1" customWidth="1"/>
    <col min="1027" max="1027" width="14.28515625" style="559" customWidth="1"/>
    <col min="1028" max="1028" width="16.5703125" style="559" bestFit="1" customWidth="1"/>
    <col min="1029" max="1029" width="13.7109375" style="559" bestFit="1" customWidth="1"/>
    <col min="1030" max="1030" width="19.85546875" style="559" bestFit="1" customWidth="1"/>
    <col min="1031" max="1031" width="40.28515625" style="559" customWidth="1"/>
    <col min="1032" max="1032" width="25.7109375" style="559" customWidth="1"/>
    <col min="1033" max="1033" width="15.7109375" style="559" customWidth="1"/>
    <col min="1034" max="1034" width="18.7109375" style="559" customWidth="1"/>
    <col min="1035" max="1035" width="27.42578125" style="559" customWidth="1"/>
    <col min="1036" max="1036" width="14.42578125" style="559" bestFit="1" customWidth="1"/>
    <col min="1037" max="1280" width="9.140625" style="559"/>
    <col min="1281" max="1281" width="75.42578125" style="559" bestFit="1" customWidth="1"/>
    <col min="1282" max="1282" width="19.7109375" style="559" bestFit="1" customWidth="1"/>
    <col min="1283" max="1283" width="14.28515625" style="559" customWidth="1"/>
    <col min="1284" max="1284" width="16.5703125" style="559" bestFit="1" customWidth="1"/>
    <col min="1285" max="1285" width="13.7109375" style="559" bestFit="1" customWidth="1"/>
    <col min="1286" max="1286" width="19.85546875" style="559" bestFit="1" customWidth="1"/>
    <col min="1287" max="1287" width="40.28515625" style="559" customWidth="1"/>
    <col min="1288" max="1288" width="25.7109375" style="559" customWidth="1"/>
    <col min="1289" max="1289" width="15.7109375" style="559" customWidth="1"/>
    <col min="1290" max="1290" width="18.7109375" style="559" customWidth="1"/>
    <col min="1291" max="1291" width="27.42578125" style="559" customWidth="1"/>
    <col min="1292" max="1292" width="14.42578125" style="559" bestFit="1" customWidth="1"/>
    <col min="1293" max="1536" width="9.140625" style="559"/>
    <col min="1537" max="1537" width="75.42578125" style="559" bestFit="1" customWidth="1"/>
    <col min="1538" max="1538" width="19.7109375" style="559" bestFit="1" customWidth="1"/>
    <col min="1539" max="1539" width="14.28515625" style="559" customWidth="1"/>
    <col min="1540" max="1540" width="16.5703125" style="559" bestFit="1" customWidth="1"/>
    <col min="1541" max="1541" width="13.7109375" style="559" bestFit="1" customWidth="1"/>
    <col min="1542" max="1542" width="19.85546875" style="559" bestFit="1" customWidth="1"/>
    <col min="1543" max="1543" width="40.28515625" style="559" customWidth="1"/>
    <col min="1544" max="1544" width="25.7109375" style="559" customWidth="1"/>
    <col min="1545" max="1545" width="15.7109375" style="559" customWidth="1"/>
    <col min="1546" max="1546" width="18.7109375" style="559" customWidth="1"/>
    <col min="1547" max="1547" width="27.42578125" style="559" customWidth="1"/>
    <col min="1548" max="1548" width="14.42578125" style="559" bestFit="1" customWidth="1"/>
    <col min="1549" max="1792" width="9.140625" style="559"/>
    <col min="1793" max="1793" width="75.42578125" style="559" bestFit="1" customWidth="1"/>
    <col min="1794" max="1794" width="19.7109375" style="559" bestFit="1" customWidth="1"/>
    <col min="1795" max="1795" width="14.28515625" style="559" customWidth="1"/>
    <col min="1796" max="1796" width="16.5703125" style="559" bestFit="1" customWidth="1"/>
    <col min="1797" max="1797" width="13.7109375" style="559" bestFit="1" customWidth="1"/>
    <col min="1798" max="1798" width="19.85546875" style="559" bestFit="1" customWidth="1"/>
    <col min="1799" max="1799" width="40.28515625" style="559" customWidth="1"/>
    <col min="1800" max="1800" width="25.7109375" style="559" customWidth="1"/>
    <col min="1801" max="1801" width="15.7109375" style="559" customWidth="1"/>
    <col min="1802" max="1802" width="18.7109375" style="559" customWidth="1"/>
    <col min="1803" max="1803" width="27.42578125" style="559" customWidth="1"/>
    <col min="1804" max="1804" width="14.42578125" style="559" bestFit="1" customWidth="1"/>
    <col min="1805" max="2048" width="9.140625" style="559"/>
    <col min="2049" max="2049" width="75.42578125" style="559" bestFit="1" customWidth="1"/>
    <col min="2050" max="2050" width="19.7109375" style="559" bestFit="1" customWidth="1"/>
    <col min="2051" max="2051" width="14.28515625" style="559" customWidth="1"/>
    <col min="2052" max="2052" width="16.5703125" style="559" bestFit="1" customWidth="1"/>
    <col min="2053" max="2053" width="13.7109375" style="559" bestFit="1" customWidth="1"/>
    <col min="2054" max="2054" width="19.85546875" style="559" bestFit="1" customWidth="1"/>
    <col min="2055" max="2055" width="40.28515625" style="559" customWidth="1"/>
    <col min="2056" max="2056" width="25.7109375" style="559" customWidth="1"/>
    <col min="2057" max="2057" width="15.7109375" style="559" customWidth="1"/>
    <col min="2058" max="2058" width="18.7109375" style="559" customWidth="1"/>
    <col min="2059" max="2059" width="27.42578125" style="559" customWidth="1"/>
    <col min="2060" max="2060" width="14.42578125" style="559" bestFit="1" customWidth="1"/>
    <col min="2061" max="2304" width="9.140625" style="559"/>
    <col min="2305" max="2305" width="75.42578125" style="559" bestFit="1" customWidth="1"/>
    <col min="2306" max="2306" width="19.7109375" style="559" bestFit="1" customWidth="1"/>
    <col min="2307" max="2307" width="14.28515625" style="559" customWidth="1"/>
    <col min="2308" max="2308" width="16.5703125" style="559" bestFit="1" customWidth="1"/>
    <col min="2309" max="2309" width="13.7109375" style="559" bestFit="1" customWidth="1"/>
    <col min="2310" max="2310" width="19.85546875" style="559" bestFit="1" customWidth="1"/>
    <col min="2311" max="2311" width="40.28515625" style="559" customWidth="1"/>
    <col min="2312" max="2312" width="25.7109375" style="559" customWidth="1"/>
    <col min="2313" max="2313" width="15.7109375" style="559" customWidth="1"/>
    <col min="2314" max="2314" width="18.7109375" style="559" customWidth="1"/>
    <col min="2315" max="2315" width="27.42578125" style="559" customWidth="1"/>
    <col min="2316" max="2316" width="14.42578125" style="559" bestFit="1" customWidth="1"/>
    <col min="2317" max="2560" width="9.140625" style="559"/>
    <col min="2561" max="2561" width="75.42578125" style="559" bestFit="1" customWidth="1"/>
    <col min="2562" max="2562" width="19.7109375" style="559" bestFit="1" customWidth="1"/>
    <col min="2563" max="2563" width="14.28515625" style="559" customWidth="1"/>
    <col min="2564" max="2564" width="16.5703125" style="559" bestFit="1" customWidth="1"/>
    <col min="2565" max="2565" width="13.7109375" style="559" bestFit="1" customWidth="1"/>
    <col min="2566" max="2566" width="19.85546875" style="559" bestFit="1" customWidth="1"/>
    <col min="2567" max="2567" width="40.28515625" style="559" customWidth="1"/>
    <col min="2568" max="2568" width="25.7109375" style="559" customWidth="1"/>
    <col min="2569" max="2569" width="15.7109375" style="559" customWidth="1"/>
    <col min="2570" max="2570" width="18.7109375" style="559" customWidth="1"/>
    <col min="2571" max="2571" width="27.42578125" style="559" customWidth="1"/>
    <col min="2572" max="2572" width="14.42578125" style="559" bestFit="1" customWidth="1"/>
    <col min="2573" max="2816" width="9.140625" style="559"/>
    <col min="2817" max="2817" width="75.42578125" style="559" bestFit="1" customWidth="1"/>
    <col min="2818" max="2818" width="19.7109375" style="559" bestFit="1" customWidth="1"/>
    <col min="2819" max="2819" width="14.28515625" style="559" customWidth="1"/>
    <col min="2820" max="2820" width="16.5703125" style="559" bestFit="1" customWidth="1"/>
    <col min="2821" max="2821" width="13.7109375" style="559" bestFit="1" customWidth="1"/>
    <col min="2822" max="2822" width="19.85546875" style="559" bestFit="1" customWidth="1"/>
    <col min="2823" max="2823" width="40.28515625" style="559" customWidth="1"/>
    <col min="2824" max="2824" width="25.7109375" style="559" customWidth="1"/>
    <col min="2825" max="2825" width="15.7109375" style="559" customWidth="1"/>
    <col min="2826" max="2826" width="18.7109375" style="559" customWidth="1"/>
    <col min="2827" max="2827" width="27.42578125" style="559" customWidth="1"/>
    <col min="2828" max="2828" width="14.42578125" style="559" bestFit="1" customWidth="1"/>
    <col min="2829" max="3072" width="9.140625" style="559"/>
    <col min="3073" max="3073" width="75.42578125" style="559" bestFit="1" customWidth="1"/>
    <col min="3074" max="3074" width="19.7109375" style="559" bestFit="1" customWidth="1"/>
    <col min="3075" max="3075" width="14.28515625" style="559" customWidth="1"/>
    <col min="3076" max="3076" width="16.5703125" style="559" bestFit="1" customWidth="1"/>
    <col min="3077" max="3077" width="13.7109375" style="559" bestFit="1" customWidth="1"/>
    <col min="3078" max="3078" width="19.85546875" style="559" bestFit="1" customWidth="1"/>
    <col min="3079" max="3079" width="40.28515625" style="559" customWidth="1"/>
    <col min="3080" max="3080" width="25.7109375" style="559" customWidth="1"/>
    <col min="3081" max="3081" width="15.7109375" style="559" customWidth="1"/>
    <col min="3082" max="3082" width="18.7109375" style="559" customWidth="1"/>
    <col min="3083" max="3083" width="27.42578125" style="559" customWidth="1"/>
    <col min="3084" max="3084" width="14.42578125" style="559" bestFit="1" customWidth="1"/>
    <col min="3085" max="3328" width="9.140625" style="559"/>
    <col min="3329" max="3329" width="75.42578125" style="559" bestFit="1" customWidth="1"/>
    <col min="3330" max="3330" width="19.7109375" style="559" bestFit="1" customWidth="1"/>
    <col min="3331" max="3331" width="14.28515625" style="559" customWidth="1"/>
    <col min="3332" max="3332" width="16.5703125" style="559" bestFit="1" customWidth="1"/>
    <col min="3333" max="3333" width="13.7109375" style="559" bestFit="1" customWidth="1"/>
    <col min="3334" max="3334" width="19.85546875" style="559" bestFit="1" customWidth="1"/>
    <col min="3335" max="3335" width="40.28515625" style="559" customWidth="1"/>
    <col min="3336" max="3336" width="25.7109375" style="559" customWidth="1"/>
    <col min="3337" max="3337" width="15.7109375" style="559" customWidth="1"/>
    <col min="3338" max="3338" width="18.7109375" style="559" customWidth="1"/>
    <col min="3339" max="3339" width="27.42578125" style="559" customWidth="1"/>
    <col min="3340" max="3340" width="14.42578125" style="559" bestFit="1" customWidth="1"/>
    <col min="3341" max="3584" width="9.140625" style="559"/>
    <col min="3585" max="3585" width="75.42578125" style="559" bestFit="1" customWidth="1"/>
    <col min="3586" max="3586" width="19.7109375" style="559" bestFit="1" customWidth="1"/>
    <col min="3587" max="3587" width="14.28515625" style="559" customWidth="1"/>
    <col min="3588" max="3588" width="16.5703125" style="559" bestFit="1" customWidth="1"/>
    <col min="3589" max="3589" width="13.7109375" style="559" bestFit="1" customWidth="1"/>
    <col min="3590" max="3590" width="19.85546875" style="559" bestFit="1" customWidth="1"/>
    <col min="3591" max="3591" width="40.28515625" style="559" customWidth="1"/>
    <col min="3592" max="3592" width="25.7109375" style="559" customWidth="1"/>
    <col min="3593" max="3593" width="15.7109375" style="559" customWidth="1"/>
    <col min="3594" max="3594" width="18.7109375" style="559" customWidth="1"/>
    <col min="3595" max="3595" width="27.42578125" style="559" customWidth="1"/>
    <col min="3596" max="3596" width="14.42578125" style="559" bestFit="1" customWidth="1"/>
    <col min="3597" max="3840" width="9.140625" style="559"/>
    <col min="3841" max="3841" width="75.42578125" style="559" bestFit="1" customWidth="1"/>
    <col min="3842" max="3842" width="19.7109375" style="559" bestFit="1" customWidth="1"/>
    <col min="3843" max="3843" width="14.28515625" style="559" customWidth="1"/>
    <col min="3844" max="3844" width="16.5703125" style="559" bestFit="1" customWidth="1"/>
    <col min="3845" max="3845" width="13.7109375" style="559" bestFit="1" customWidth="1"/>
    <col min="3846" max="3846" width="19.85546875" style="559" bestFit="1" customWidth="1"/>
    <col min="3847" max="3847" width="40.28515625" style="559" customWidth="1"/>
    <col min="3848" max="3848" width="25.7109375" style="559" customWidth="1"/>
    <col min="3849" max="3849" width="15.7109375" style="559" customWidth="1"/>
    <col min="3850" max="3850" width="18.7109375" style="559" customWidth="1"/>
    <col min="3851" max="3851" width="27.42578125" style="559" customWidth="1"/>
    <col min="3852" max="3852" width="14.42578125" style="559" bestFit="1" customWidth="1"/>
    <col min="3853" max="4096" width="9.140625" style="559"/>
    <col min="4097" max="4097" width="75.42578125" style="559" bestFit="1" customWidth="1"/>
    <col min="4098" max="4098" width="19.7109375" style="559" bestFit="1" customWidth="1"/>
    <col min="4099" max="4099" width="14.28515625" style="559" customWidth="1"/>
    <col min="4100" max="4100" width="16.5703125" style="559" bestFit="1" customWidth="1"/>
    <col min="4101" max="4101" width="13.7109375" style="559" bestFit="1" customWidth="1"/>
    <col min="4102" max="4102" width="19.85546875" style="559" bestFit="1" customWidth="1"/>
    <col min="4103" max="4103" width="40.28515625" style="559" customWidth="1"/>
    <col min="4104" max="4104" width="25.7109375" style="559" customWidth="1"/>
    <col min="4105" max="4105" width="15.7109375" style="559" customWidth="1"/>
    <col min="4106" max="4106" width="18.7109375" style="559" customWidth="1"/>
    <col min="4107" max="4107" width="27.42578125" style="559" customWidth="1"/>
    <col min="4108" max="4108" width="14.42578125" style="559" bestFit="1" customWidth="1"/>
    <col min="4109" max="4352" width="9.140625" style="559"/>
    <col min="4353" max="4353" width="75.42578125" style="559" bestFit="1" customWidth="1"/>
    <col min="4354" max="4354" width="19.7109375" style="559" bestFit="1" customWidth="1"/>
    <col min="4355" max="4355" width="14.28515625" style="559" customWidth="1"/>
    <col min="4356" max="4356" width="16.5703125" style="559" bestFit="1" customWidth="1"/>
    <col min="4357" max="4357" width="13.7109375" style="559" bestFit="1" customWidth="1"/>
    <col min="4358" max="4358" width="19.85546875" style="559" bestFit="1" customWidth="1"/>
    <col min="4359" max="4359" width="40.28515625" style="559" customWidth="1"/>
    <col min="4360" max="4360" width="25.7109375" style="559" customWidth="1"/>
    <col min="4361" max="4361" width="15.7109375" style="559" customWidth="1"/>
    <col min="4362" max="4362" width="18.7109375" style="559" customWidth="1"/>
    <col min="4363" max="4363" width="27.42578125" style="559" customWidth="1"/>
    <col min="4364" max="4364" width="14.42578125" style="559" bestFit="1" customWidth="1"/>
    <col min="4365" max="4608" width="9.140625" style="559"/>
    <col min="4609" max="4609" width="75.42578125" style="559" bestFit="1" customWidth="1"/>
    <col min="4610" max="4610" width="19.7109375" style="559" bestFit="1" customWidth="1"/>
    <col min="4611" max="4611" width="14.28515625" style="559" customWidth="1"/>
    <col min="4612" max="4612" width="16.5703125" style="559" bestFit="1" customWidth="1"/>
    <col min="4613" max="4613" width="13.7109375" style="559" bestFit="1" customWidth="1"/>
    <col min="4614" max="4614" width="19.85546875" style="559" bestFit="1" customWidth="1"/>
    <col min="4615" max="4615" width="40.28515625" style="559" customWidth="1"/>
    <col min="4616" max="4616" width="25.7109375" style="559" customWidth="1"/>
    <col min="4617" max="4617" width="15.7109375" style="559" customWidth="1"/>
    <col min="4618" max="4618" width="18.7109375" style="559" customWidth="1"/>
    <col min="4619" max="4619" width="27.42578125" style="559" customWidth="1"/>
    <col min="4620" max="4620" width="14.42578125" style="559" bestFit="1" customWidth="1"/>
    <col min="4621" max="4864" width="9.140625" style="559"/>
    <col min="4865" max="4865" width="75.42578125" style="559" bestFit="1" customWidth="1"/>
    <col min="4866" max="4866" width="19.7109375" style="559" bestFit="1" customWidth="1"/>
    <col min="4867" max="4867" width="14.28515625" style="559" customWidth="1"/>
    <col min="4868" max="4868" width="16.5703125" style="559" bestFit="1" customWidth="1"/>
    <col min="4869" max="4869" width="13.7109375" style="559" bestFit="1" customWidth="1"/>
    <col min="4870" max="4870" width="19.85546875" style="559" bestFit="1" customWidth="1"/>
    <col min="4871" max="4871" width="40.28515625" style="559" customWidth="1"/>
    <col min="4872" max="4872" width="25.7109375" style="559" customWidth="1"/>
    <col min="4873" max="4873" width="15.7109375" style="559" customWidth="1"/>
    <col min="4874" max="4874" width="18.7109375" style="559" customWidth="1"/>
    <col min="4875" max="4875" width="27.42578125" style="559" customWidth="1"/>
    <col min="4876" max="4876" width="14.42578125" style="559" bestFit="1" customWidth="1"/>
    <col min="4877" max="5120" width="9.140625" style="559"/>
    <col min="5121" max="5121" width="75.42578125" style="559" bestFit="1" customWidth="1"/>
    <col min="5122" max="5122" width="19.7109375" style="559" bestFit="1" customWidth="1"/>
    <col min="5123" max="5123" width="14.28515625" style="559" customWidth="1"/>
    <col min="5124" max="5124" width="16.5703125" style="559" bestFit="1" customWidth="1"/>
    <col min="5125" max="5125" width="13.7109375" style="559" bestFit="1" customWidth="1"/>
    <col min="5126" max="5126" width="19.85546875" style="559" bestFit="1" customWidth="1"/>
    <col min="5127" max="5127" width="40.28515625" style="559" customWidth="1"/>
    <col min="5128" max="5128" width="25.7109375" style="559" customWidth="1"/>
    <col min="5129" max="5129" width="15.7109375" style="559" customWidth="1"/>
    <col min="5130" max="5130" width="18.7109375" style="559" customWidth="1"/>
    <col min="5131" max="5131" width="27.42578125" style="559" customWidth="1"/>
    <col min="5132" max="5132" width="14.42578125" style="559" bestFit="1" customWidth="1"/>
    <col min="5133" max="5376" width="9.140625" style="559"/>
    <col min="5377" max="5377" width="75.42578125" style="559" bestFit="1" customWidth="1"/>
    <col min="5378" max="5378" width="19.7109375" style="559" bestFit="1" customWidth="1"/>
    <col min="5379" max="5379" width="14.28515625" style="559" customWidth="1"/>
    <col min="5380" max="5380" width="16.5703125" style="559" bestFit="1" customWidth="1"/>
    <col min="5381" max="5381" width="13.7109375" style="559" bestFit="1" customWidth="1"/>
    <col min="5382" max="5382" width="19.85546875" style="559" bestFit="1" customWidth="1"/>
    <col min="5383" max="5383" width="40.28515625" style="559" customWidth="1"/>
    <col min="5384" max="5384" width="25.7109375" style="559" customWidth="1"/>
    <col min="5385" max="5385" width="15.7109375" style="559" customWidth="1"/>
    <col min="5386" max="5386" width="18.7109375" style="559" customWidth="1"/>
    <col min="5387" max="5387" width="27.42578125" style="559" customWidth="1"/>
    <col min="5388" max="5388" width="14.42578125" style="559" bestFit="1" customWidth="1"/>
    <col min="5389" max="5632" width="9.140625" style="559"/>
    <col min="5633" max="5633" width="75.42578125" style="559" bestFit="1" customWidth="1"/>
    <col min="5634" max="5634" width="19.7109375" style="559" bestFit="1" customWidth="1"/>
    <col min="5635" max="5635" width="14.28515625" style="559" customWidth="1"/>
    <col min="5636" max="5636" width="16.5703125" style="559" bestFit="1" customWidth="1"/>
    <col min="5637" max="5637" width="13.7109375" style="559" bestFit="1" customWidth="1"/>
    <col min="5638" max="5638" width="19.85546875" style="559" bestFit="1" customWidth="1"/>
    <col min="5639" max="5639" width="40.28515625" style="559" customWidth="1"/>
    <col min="5640" max="5640" width="25.7109375" style="559" customWidth="1"/>
    <col min="5641" max="5641" width="15.7109375" style="559" customWidth="1"/>
    <col min="5642" max="5642" width="18.7109375" style="559" customWidth="1"/>
    <col min="5643" max="5643" width="27.42578125" style="559" customWidth="1"/>
    <col min="5644" max="5644" width="14.42578125" style="559" bestFit="1" customWidth="1"/>
    <col min="5645" max="5888" width="9.140625" style="559"/>
    <col min="5889" max="5889" width="75.42578125" style="559" bestFit="1" customWidth="1"/>
    <col min="5890" max="5890" width="19.7109375" style="559" bestFit="1" customWidth="1"/>
    <col min="5891" max="5891" width="14.28515625" style="559" customWidth="1"/>
    <col min="5892" max="5892" width="16.5703125" style="559" bestFit="1" customWidth="1"/>
    <col min="5893" max="5893" width="13.7109375" style="559" bestFit="1" customWidth="1"/>
    <col min="5894" max="5894" width="19.85546875" style="559" bestFit="1" customWidth="1"/>
    <col min="5895" max="5895" width="40.28515625" style="559" customWidth="1"/>
    <col min="5896" max="5896" width="25.7109375" style="559" customWidth="1"/>
    <col min="5897" max="5897" width="15.7109375" style="559" customWidth="1"/>
    <col min="5898" max="5898" width="18.7109375" style="559" customWidth="1"/>
    <col min="5899" max="5899" width="27.42578125" style="559" customWidth="1"/>
    <col min="5900" max="5900" width="14.42578125" style="559" bestFit="1" customWidth="1"/>
    <col min="5901" max="6144" width="9.140625" style="559"/>
    <col min="6145" max="6145" width="75.42578125" style="559" bestFit="1" customWidth="1"/>
    <col min="6146" max="6146" width="19.7109375" style="559" bestFit="1" customWidth="1"/>
    <col min="6147" max="6147" width="14.28515625" style="559" customWidth="1"/>
    <col min="6148" max="6148" width="16.5703125" style="559" bestFit="1" customWidth="1"/>
    <col min="6149" max="6149" width="13.7109375" style="559" bestFit="1" customWidth="1"/>
    <col min="6150" max="6150" width="19.85546875" style="559" bestFit="1" customWidth="1"/>
    <col min="6151" max="6151" width="40.28515625" style="559" customWidth="1"/>
    <col min="6152" max="6152" width="25.7109375" style="559" customWidth="1"/>
    <col min="6153" max="6153" width="15.7109375" style="559" customWidth="1"/>
    <col min="6154" max="6154" width="18.7109375" style="559" customWidth="1"/>
    <col min="6155" max="6155" width="27.42578125" style="559" customWidth="1"/>
    <col min="6156" max="6156" width="14.42578125" style="559" bestFit="1" customWidth="1"/>
    <col min="6157" max="6400" width="9.140625" style="559"/>
    <col min="6401" max="6401" width="75.42578125" style="559" bestFit="1" customWidth="1"/>
    <col min="6402" max="6402" width="19.7109375" style="559" bestFit="1" customWidth="1"/>
    <col min="6403" max="6403" width="14.28515625" style="559" customWidth="1"/>
    <col min="6404" max="6404" width="16.5703125" style="559" bestFit="1" customWidth="1"/>
    <col min="6405" max="6405" width="13.7109375" style="559" bestFit="1" customWidth="1"/>
    <col min="6406" max="6406" width="19.85546875" style="559" bestFit="1" customWidth="1"/>
    <col min="6407" max="6407" width="40.28515625" style="559" customWidth="1"/>
    <col min="6408" max="6408" width="25.7109375" style="559" customWidth="1"/>
    <col min="6409" max="6409" width="15.7109375" style="559" customWidth="1"/>
    <col min="6410" max="6410" width="18.7109375" style="559" customWidth="1"/>
    <col min="6411" max="6411" width="27.42578125" style="559" customWidth="1"/>
    <col min="6412" max="6412" width="14.42578125" style="559" bestFit="1" customWidth="1"/>
    <col min="6413" max="6656" width="9.140625" style="559"/>
    <col min="6657" max="6657" width="75.42578125" style="559" bestFit="1" customWidth="1"/>
    <col min="6658" max="6658" width="19.7109375" style="559" bestFit="1" customWidth="1"/>
    <col min="6659" max="6659" width="14.28515625" style="559" customWidth="1"/>
    <col min="6660" max="6660" width="16.5703125" style="559" bestFit="1" customWidth="1"/>
    <col min="6661" max="6661" width="13.7109375" style="559" bestFit="1" customWidth="1"/>
    <col min="6662" max="6662" width="19.85546875" style="559" bestFit="1" customWidth="1"/>
    <col min="6663" max="6663" width="40.28515625" style="559" customWidth="1"/>
    <col min="6664" max="6664" width="25.7109375" style="559" customWidth="1"/>
    <col min="6665" max="6665" width="15.7109375" style="559" customWidth="1"/>
    <col min="6666" max="6666" width="18.7109375" style="559" customWidth="1"/>
    <col min="6667" max="6667" width="27.42578125" style="559" customWidth="1"/>
    <col min="6668" max="6668" width="14.42578125" style="559" bestFit="1" customWidth="1"/>
    <col min="6669" max="6912" width="9.140625" style="559"/>
    <col min="6913" max="6913" width="75.42578125" style="559" bestFit="1" customWidth="1"/>
    <col min="6914" max="6914" width="19.7109375" style="559" bestFit="1" customWidth="1"/>
    <col min="6915" max="6915" width="14.28515625" style="559" customWidth="1"/>
    <col min="6916" max="6916" width="16.5703125" style="559" bestFit="1" customWidth="1"/>
    <col min="6917" max="6917" width="13.7109375" style="559" bestFit="1" customWidth="1"/>
    <col min="6918" max="6918" width="19.85546875" style="559" bestFit="1" customWidth="1"/>
    <col min="6919" max="6919" width="40.28515625" style="559" customWidth="1"/>
    <col min="6920" max="6920" width="25.7109375" style="559" customWidth="1"/>
    <col min="6921" max="6921" width="15.7109375" style="559" customWidth="1"/>
    <col min="6922" max="6922" width="18.7109375" style="559" customWidth="1"/>
    <col min="6923" max="6923" width="27.42578125" style="559" customWidth="1"/>
    <col min="6924" max="6924" width="14.42578125" style="559" bestFit="1" customWidth="1"/>
    <col min="6925" max="7168" width="9.140625" style="559"/>
    <col min="7169" max="7169" width="75.42578125" style="559" bestFit="1" customWidth="1"/>
    <col min="7170" max="7170" width="19.7109375" style="559" bestFit="1" customWidth="1"/>
    <col min="7171" max="7171" width="14.28515625" style="559" customWidth="1"/>
    <col min="7172" max="7172" width="16.5703125" style="559" bestFit="1" customWidth="1"/>
    <col min="7173" max="7173" width="13.7109375" style="559" bestFit="1" customWidth="1"/>
    <col min="7174" max="7174" width="19.85546875" style="559" bestFit="1" customWidth="1"/>
    <col min="7175" max="7175" width="40.28515625" style="559" customWidth="1"/>
    <col min="7176" max="7176" width="25.7109375" style="559" customWidth="1"/>
    <col min="7177" max="7177" width="15.7109375" style="559" customWidth="1"/>
    <col min="7178" max="7178" width="18.7109375" style="559" customWidth="1"/>
    <col min="7179" max="7179" width="27.42578125" style="559" customWidth="1"/>
    <col min="7180" max="7180" width="14.42578125" style="559" bestFit="1" customWidth="1"/>
    <col min="7181" max="7424" width="9.140625" style="559"/>
    <col min="7425" max="7425" width="75.42578125" style="559" bestFit="1" customWidth="1"/>
    <col min="7426" max="7426" width="19.7109375" style="559" bestFit="1" customWidth="1"/>
    <col min="7427" max="7427" width="14.28515625" style="559" customWidth="1"/>
    <col min="7428" max="7428" width="16.5703125" style="559" bestFit="1" customWidth="1"/>
    <col min="7429" max="7429" width="13.7109375" style="559" bestFit="1" customWidth="1"/>
    <col min="7430" max="7430" width="19.85546875" style="559" bestFit="1" customWidth="1"/>
    <col min="7431" max="7431" width="40.28515625" style="559" customWidth="1"/>
    <col min="7432" max="7432" width="25.7109375" style="559" customWidth="1"/>
    <col min="7433" max="7433" width="15.7109375" style="559" customWidth="1"/>
    <col min="7434" max="7434" width="18.7109375" style="559" customWidth="1"/>
    <col min="7435" max="7435" width="27.42578125" style="559" customWidth="1"/>
    <col min="7436" max="7436" width="14.42578125" style="559" bestFit="1" customWidth="1"/>
    <col min="7437" max="7680" width="9.140625" style="559"/>
    <col min="7681" max="7681" width="75.42578125" style="559" bestFit="1" customWidth="1"/>
    <col min="7682" max="7682" width="19.7109375" style="559" bestFit="1" customWidth="1"/>
    <col min="7683" max="7683" width="14.28515625" style="559" customWidth="1"/>
    <col min="7684" max="7684" width="16.5703125" style="559" bestFit="1" customWidth="1"/>
    <col min="7685" max="7685" width="13.7109375" style="559" bestFit="1" customWidth="1"/>
    <col min="7686" max="7686" width="19.85546875" style="559" bestFit="1" customWidth="1"/>
    <col min="7687" max="7687" width="40.28515625" style="559" customWidth="1"/>
    <col min="7688" max="7688" width="25.7109375" style="559" customWidth="1"/>
    <col min="7689" max="7689" width="15.7109375" style="559" customWidth="1"/>
    <col min="7690" max="7690" width="18.7109375" style="559" customWidth="1"/>
    <col min="7691" max="7691" width="27.42578125" style="559" customWidth="1"/>
    <col min="7692" max="7692" width="14.42578125" style="559" bestFit="1" customWidth="1"/>
    <col min="7693" max="7936" width="9.140625" style="559"/>
    <col min="7937" max="7937" width="75.42578125" style="559" bestFit="1" customWidth="1"/>
    <col min="7938" max="7938" width="19.7109375" style="559" bestFit="1" customWidth="1"/>
    <col min="7939" max="7939" width="14.28515625" style="559" customWidth="1"/>
    <col min="7940" max="7940" width="16.5703125" style="559" bestFit="1" customWidth="1"/>
    <col min="7941" max="7941" width="13.7109375" style="559" bestFit="1" customWidth="1"/>
    <col min="7942" max="7942" width="19.85546875" style="559" bestFit="1" customWidth="1"/>
    <col min="7943" max="7943" width="40.28515625" style="559" customWidth="1"/>
    <col min="7944" max="7944" width="25.7109375" style="559" customWidth="1"/>
    <col min="7945" max="7945" width="15.7109375" style="559" customWidth="1"/>
    <col min="7946" max="7946" width="18.7109375" style="559" customWidth="1"/>
    <col min="7947" max="7947" width="27.42578125" style="559" customWidth="1"/>
    <col min="7948" max="7948" width="14.42578125" style="559" bestFit="1" customWidth="1"/>
    <col min="7949" max="8192" width="9.140625" style="559"/>
    <col min="8193" max="8193" width="75.42578125" style="559" bestFit="1" customWidth="1"/>
    <col min="8194" max="8194" width="19.7109375" style="559" bestFit="1" customWidth="1"/>
    <col min="8195" max="8195" width="14.28515625" style="559" customWidth="1"/>
    <col min="8196" max="8196" width="16.5703125" style="559" bestFit="1" customWidth="1"/>
    <col min="8197" max="8197" width="13.7109375" style="559" bestFit="1" customWidth="1"/>
    <col min="8198" max="8198" width="19.85546875" style="559" bestFit="1" customWidth="1"/>
    <col min="8199" max="8199" width="40.28515625" style="559" customWidth="1"/>
    <col min="8200" max="8200" width="25.7109375" style="559" customWidth="1"/>
    <col min="8201" max="8201" width="15.7109375" style="559" customWidth="1"/>
    <col min="8202" max="8202" width="18.7109375" style="559" customWidth="1"/>
    <col min="8203" max="8203" width="27.42578125" style="559" customWidth="1"/>
    <col min="8204" max="8204" width="14.42578125" style="559" bestFit="1" customWidth="1"/>
    <col min="8205" max="8448" width="9.140625" style="559"/>
    <col min="8449" max="8449" width="75.42578125" style="559" bestFit="1" customWidth="1"/>
    <col min="8450" max="8450" width="19.7109375" style="559" bestFit="1" customWidth="1"/>
    <col min="8451" max="8451" width="14.28515625" style="559" customWidth="1"/>
    <col min="8452" max="8452" width="16.5703125" style="559" bestFit="1" customWidth="1"/>
    <col min="8453" max="8453" width="13.7109375" style="559" bestFit="1" customWidth="1"/>
    <col min="8454" max="8454" width="19.85546875" style="559" bestFit="1" customWidth="1"/>
    <col min="8455" max="8455" width="40.28515625" style="559" customWidth="1"/>
    <col min="8456" max="8456" width="25.7109375" style="559" customWidth="1"/>
    <col min="8457" max="8457" width="15.7109375" style="559" customWidth="1"/>
    <col min="8458" max="8458" width="18.7109375" style="559" customWidth="1"/>
    <col min="8459" max="8459" width="27.42578125" style="559" customWidth="1"/>
    <col min="8460" max="8460" width="14.42578125" style="559" bestFit="1" customWidth="1"/>
    <col min="8461" max="8704" width="9.140625" style="559"/>
    <col min="8705" max="8705" width="75.42578125" style="559" bestFit="1" customWidth="1"/>
    <col min="8706" max="8706" width="19.7109375" style="559" bestFit="1" customWidth="1"/>
    <col min="8707" max="8707" width="14.28515625" style="559" customWidth="1"/>
    <col min="8708" max="8708" width="16.5703125" style="559" bestFit="1" customWidth="1"/>
    <col min="8709" max="8709" width="13.7109375" style="559" bestFit="1" customWidth="1"/>
    <col min="8710" max="8710" width="19.85546875" style="559" bestFit="1" customWidth="1"/>
    <col min="8711" max="8711" width="40.28515625" style="559" customWidth="1"/>
    <col min="8712" max="8712" width="25.7109375" style="559" customWidth="1"/>
    <col min="8713" max="8713" width="15.7109375" style="559" customWidth="1"/>
    <col min="8714" max="8714" width="18.7109375" style="559" customWidth="1"/>
    <col min="8715" max="8715" width="27.42578125" style="559" customWidth="1"/>
    <col min="8716" max="8716" width="14.42578125" style="559" bestFit="1" customWidth="1"/>
    <col min="8717" max="8960" width="9.140625" style="559"/>
    <col min="8961" max="8961" width="75.42578125" style="559" bestFit="1" customWidth="1"/>
    <col min="8962" max="8962" width="19.7109375" style="559" bestFit="1" customWidth="1"/>
    <col min="8963" max="8963" width="14.28515625" style="559" customWidth="1"/>
    <col min="8964" max="8964" width="16.5703125" style="559" bestFit="1" customWidth="1"/>
    <col min="8965" max="8965" width="13.7109375" style="559" bestFit="1" customWidth="1"/>
    <col min="8966" max="8966" width="19.85546875" style="559" bestFit="1" customWidth="1"/>
    <col min="8967" max="8967" width="40.28515625" style="559" customWidth="1"/>
    <col min="8968" max="8968" width="25.7109375" style="559" customWidth="1"/>
    <col min="8969" max="8969" width="15.7109375" style="559" customWidth="1"/>
    <col min="8970" max="8970" width="18.7109375" style="559" customWidth="1"/>
    <col min="8971" max="8971" width="27.42578125" style="559" customWidth="1"/>
    <col min="8972" max="8972" width="14.42578125" style="559" bestFit="1" customWidth="1"/>
    <col min="8973" max="9216" width="9.140625" style="559"/>
    <col min="9217" max="9217" width="75.42578125" style="559" bestFit="1" customWidth="1"/>
    <col min="9218" max="9218" width="19.7109375" style="559" bestFit="1" customWidth="1"/>
    <col min="9219" max="9219" width="14.28515625" style="559" customWidth="1"/>
    <col min="9220" max="9220" width="16.5703125" style="559" bestFit="1" customWidth="1"/>
    <col min="9221" max="9221" width="13.7109375" style="559" bestFit="1" customWidth="1"/>
    <col min="9222" max="9222" width="19.85546875" style="559" bestFit="1" customWidth="1"/>
    <col min="9223" max="9223" width="40.28515625" style="559" customWidth="1"/>
    <col min="9224" max="9224" width="25.7109375" style="559" customWidth="1"/>
    <col min="9225" max="9225" width="15.7109375" style="559" customWidth="1"/>
    <col min="9226" max="9226" width="18.7109375" style="559" customWidth="1"/>
    <col min="9227" max="9227" width="27.42578125" style="559" customWidth="1"/>
    <col min="9228" max="9228" width="14.42578125" style="559" bestFit="1" customWidth="1"/>
    <col min="9229" max="9472" width="9.140625" style="559"/>
    <col min="9473" max="9473" width="75.42578125" style="559" bestFit="1" customWidth="1"/>
    <col min="9474" max="9474" width="19.7109375" style="559" bestFit="1" customWidth="1"/>
    <col min="9475" max="9475" width="14.28515625" style="559" customWidth="1"/>
    <col min="9476" max="9476" width="16.5703125" style="559" bestFit="1" customWidth="1"/>
    <col min="9477" max="9477" width="13.7109375" style="559" bestFit="1" customWidth="1"/>
    <col min="9478" max="9478" width="19.85546875" style="559" bestFit="1" customWidth="1"/>
    <col min="9479" max="9479" width="40.28515625" style="559" customWidth="1"/>
    <col min="9480" max="9480" width="25.7109375" style="559" customWidth="1"/>
    <col min="9481" max="9481" width="15.7109375" style="559" customWidth="1"/>
    <col min="9482" max="9482" width="18.7109375" style="559" customWidth="1"/>
    <col min="9483" max="9483" width="27.42578125" style="559" customWidth="1"/>
    <col min="9484" max="9484" width="14.42578125" style="559" bestFit="1" customWidth="1"/>
    <col min="9485" max="9728" width="9.140625" style="559"/>
    <col min="9729" max="9729" width="75.42578125" style="559" bestFit="1" customWidth="1"/>
    <col min="9730" max="9730" width="19.7109375" style="559" bestFit="1" customWidth="1"/>
    <col min="9731" max="9731" width="14.28515625" style="559" customWidth="1"/>
    <col min="9732" max="9732" width="16.5703125" style="559" bestFit="1" customWidth="1"/>
    <col min="9733" max="9733" width="13.7109375" style="559" bestFit="1" customWidth="1"/>
    <col min="9734" max="9734" width="19.85546875" style="559" bestFit="1" customWidth="1"/>
    <col min="9735" max="9735" width="40.28515625" style="559" customWidth="1"/>
    <col min="9736" max="9736" width="25.7109375" style="559" customWidth="1"/>
    <col min="9737" max="9737" width="15.7109375" style="559" customWidth="1"/>
    <col min="9738" max="9738" width="18.7109375" style="559" customWidth="1"/>
    <col min="9739" max="9739" width="27.42578125" style="559" customWidth="1"/>
    <col min="9740" max="9740" width="14.42578125" style="559" bestFit="1" customWidth="1"/>
    <col min="9741" max="9984" width="9.140625" style="559"/>
    <col min="9985" max="9985" width="75.42578125" style="559" bestFit="1" customWidth="1"/>
    <col min="9986" max="9986" width="19.7109375" style="559" bestFit="1" customWidth="1"/>
    <col min="9987" max="9987" width="14.28515625" style="559" customWidth="1"/>
    <col min="9988" max="9988" width="16.5703125" style="559" bestFit="1" customWidth="1"/>
    <col min="9989" max="9989" width="13.7109375" style="559" bestFit="1" customWidth="1"/>
    <col min="9990" max="9990" width="19.85546875" style="559" bestFit="1" customWidth="1"/>
    <col min="9991" max="9991" width="40.28515625" style="559" customWidth="1"/>
    <col min="9992" max="9992" width="25.7109375" style="559" customWidth="1"/>
    <col min="9993" max="9993" width="15.7109375" style="559" customWidth="1"/>
    <col min="9994" max="9994" width="18.7109375" style="559" customWidth="1"/>
    <col min="9995" max="9995" width="27.42578125" style="559" customWidth="1"/>
    <col min="9996" max="9996" width="14.42578125" style="559" bestFit="1" customWidth="1"/>
    <col min="9997" max="10240" width="9.140625" style="559"/>
    <col min="10241" max="10241" width="75.42578125" style="559" bestFit="1" customWidth="1"/>
    <col min="10242" max="10242" width="19.7109375" style="559" bestFit="1" customWidth="1"/>
    <col min="10243" max="10243" width="14.28515625" style="559" customWidth="1"/>
    <col min="10244" max="10244" width="16.5703125" style="559" bestFit="1" customWidth="1"/>
    <col min="10245" max="10245" width="13.7109375" style="559" bestFit="1" customWidth="1"/>
    <col min="10246" max="10246" width="19.85546875" style="559" bestFit="1" customWidth="1"/>
    <col min="10247" max="10247" width="40.28515625" style="559" customWidth="1"/>
    <col min="10248" max="10248" width="25.7109375" style="559" customWidth="1"/>
    <col min="10249" max="10249" width="15.7109375" style="559" customWidth="1"/>
    <col min="10250" max="10250" width="18.7109375" style="559" customWidth="1"/>
    <col min="10251" max="10251" width="27.42578125" style="559" customWidth="1"/>
    <col min="10252" max="10252" width="14.42578125" style="559" bestFit="1" customWidth="1"/>
    <col min="10253" max="10496" width="9.140625" style="559"/>
    <col min="10497" max="10497" width="75.42578125" style="559" bestFit="1" customWidth="1"/>
    <col min="10498" max="10498" width="19.7109375" style="559" bestFit="1" customWidth="1"/>
    <col min="10499" max="10499" width="14.28515625" style="559" customWidth="1"/>
    <col min="10500" max="10500" width="16.5703125" style="559" bestFit="1" customWidth="1"/>
    <col min="10501" max="10501" width="13.7109375" style="559" bestFit="1" customWidth="1"/>
    <col min="10502" max="10502" width="19.85546875" style="559" bestFit="1" customWidth="1"/>
    <col min="10503" max="10503" width="40.28515625" style="559" customWidth="1"/>
    <col min="10504" max="10504" width="25.7109375" style="559" customWidth="1"/>
    <col min="10505" max="10505" width="15.7109375" style="559" customWidth="1"/>
    <col min="10506" max="10506" width="18.7109375" style="559" customWidth="1"/>
    <col min="10507" max="10507" width="27.42578125" style="559" customWidth="1"/>
    <col min="10508" max="10508" width="14.42578125" style="559" bestFit="1" customWidth="1"/>
    <col min="10509" max="10752" width="9.140625" style="559"/>
    <col min="10753" max="10753" width="75.42578125" style="559" bestFit="1" customWidth="1"/>
    <col min="10754" max="10754" width="19.7109375" style="559" bestFit="1" customWidth="1"/>
    <col min="10755" max="10755" width="14.28515625" style="559" customWidth="1"/>
    <col min="10756" max="10756" width="16.5703125" style="559" bestFit="1" customWidth="1"/>
    <col min="10757" max="10757" width="13.7109375" style="559" bestFit="1" customWidth="1"/>
    <col min="10758" max="10758" width="19.85546875" style="559" bestFit="1" customWidth="1"/>
    <col min="10759" max="10759" width="40.28515625" style="559" customWidth="1"/>
    <col min="10760" max="10760" width="25.7109375" style="559" customWidth="1"/>
    <col min="10761" max="10761" width="15.7109375" style="559" customWidth="1"/>
    <col min="10762" max="10762" width="18.7109375" style="559" customWidth="1"/>
    <col min="10763" max="10763" width="27.42578125" style="559" customWidth="1"/>
    <col min="10764" max="10764" width="14.42578125" style="559" bestFit="1" customWidth="1"/>
    <col min="10765" max="11008" width="9.140625" style="559"/>
    <col min="11009" max="11009" width="75.42578125" style="559" bestFit="1" customWidth="1"/>
    <col min="11010" max="11010" width="19.7109375" style="559" bestFit="1" customWidth="1"/>
    <col min="11011" max="11011" width="14.28515625" style="559" customWidth="1"/>
    <col min="11012" max="11012" width="16.5703125" style="559" bestFit="1" customWidth="1"/>
    <col min="11013" max="11013" width="13.7109375" style="559" bestFit="1" customWidth="1"/>
    <col min="11014" max="11014" width="19.85546875" style="559" bestFit="1" customWidth="1"/>
    <col min="11015" max="11015" width="40.28515625" style="559" customWidth="1"/>
    <col min="11016" max="11016" width="25.7109375" style="559" customWidth="1"/>
    <col min="11017" max="11017" width="15.7109375" style="559" customWidth="1"/>
    <col min="11018" max="11018" width="18.7109375" style="559" customWidth="1"/>
    <col min="11019" max="11019" width="27.42578125" style="559" customWidth="1"/>
    <col min="11020" max="11020" width="14.42578125" style="559" bestFit="1" customWidth="1"/>
    <col min="11021" max="11264" width="9.140625" style="559"/>
    <col min="11265" max="11265" width="75.42578125" style="559" bestFit="1" customWidth="1"/>
    <col min="11266" max="11266" width="19.7109375" style="559" bestFit="1" customWidth="1"/>
    <col min="11267" max="11267" width="14.28515625" style="559" customWidth="1"/>
    <col min="11268" max="11268" width="16.5703125" style="559" bestFit="1" customWidth="1"/>
    <col min="11269" max="11269" width="13.7109375" style="559" bestFit="1" customWidth="1"/>
    <col min="11270" max="11270" width="19.85546875" style="559" bestFit="1" customWidth="1"/>
    <col min="11271" max="11271" width="40.28515625" style="559" customWidth="1"/>
    <col min="11272" max="11272" width="25.7109375" style="559" customWidth="1"/>
    <col min="11273" max="11273" width="15.7109375" style="559" customWidth="1"/>
    <col min="11274" max="11274" width="18.7109375" style="559" customWidth="1"/>
    <col min="11275" max="11275" width="27.42578125" style="559" customWidth="1"/>
    <col min="11276" max="11276" width="14.42578125" style="559" bestFit="1" customWidth="1"/>
    <col min="11277" max="11520" width="9.140625" style="559"/>
    <col min="11521" max="11521" width="75.42578125" style="559" bestFit="1" customWidth="1"/>
    <col min="11522" max="11522" width="19.7109375" style="559" bestFit="1" customWidth="1"/>
    <col min="11523" max="11523" width="14.28515625" style="559" customWidth="1"/>
    <col min="11524" max="11524" width="16.5703125" style="559" bestFit="1" customWidth="1"/>
    <col min="11525" max="11525" width="13.7109375" style="559" bestFit="1" customWidth="1"/>
    <col min="11526" max="11526" width="19.85546875" style="559" bestFit="1" customWidth="1"/>
    <col min="11527" max="11527" width="40.28515625" style="559" customWidth="1"/>
    <col min="11528" max="11528" width="25.7109375" style="559" customWidth="1"/>
    <col min="11529" max="11529" width="15.7109375" style="559" customWidth="1"/>
    <col min="11530" max="11530" width="18.7109375" style="559" customWidth="1"/>
    <col min="11531" max="11531" width="27.42578125" style="559" customWidth="1"/>
    <col min="11532" max="11532" width="14.42578125" style="559" bestFit="1" customWidth="1"/>
    <col min="11533" max="11776" width="9.140625" style="559"/>
    <col min="11777" max="11777" width="75.42578125" style="559" bestFit="1" customWidth="1"/>
    <col min="11778" max="11778" width="19.7109375" style="559" bestFit="1" customWidth="1"/>
    <col min="11779" max="11779" width="14.28515625" style="559" customWidth="1"/>
    <col min="11780" max="11780" width="16.5703125" style="559" bestFit="1" customWidth="1"/>
    <col min="11781" max="11781" width="13.7109375" style="559" bestFit="1" customWidth="1"/>
    <col min="11782" max="11782" width="19.85546875" style="559" bestFit="1" customWidth="1"/>
    <col min="11783" max="11783" width="40.28515625" style="559" customWidth="1"/>
    <col min="11784" max="11784" width="25.7109375" style="559" customWidth="1"/>
    <col min="11785" max="11785" width="15.7109375" style="559" customWidth="1"/>
    <col min="11786" max="11786" width="18.7109375" style="559" customWidth="1"/>
    <col min="11787" max="11787" width="27.42578125" style="559" customWidth="1"/>
    <col min="11788" max="11788" width="14.42578125" style="559" bestFit="1" customWidth="1"/>
    <col min="11789" max="12032" width="9.140625" style="559"/>
    <col min="12033" max="12033" width="75.42578125" style="559" bestFit="1" customWidth="1"/>
    <col min="12034" max="12034" width="19.7109375" style="559" bestFit="1" customWidth="1"/>
    <col min="12035" max="12035" width="14.28515625" style="559" customWidth="1"/>
    <col min="12036" max="12036" width="16.5703125" style="559" bestFit="1" customWidth="1"/>
    <col min="12037" max="12037" width="13.7109375" style="559" bestFit="1" customWidth="1"/>
    <col min="12038" max="12038" width="19.85546875" style="559" bestFit="1" customWidth="1"/>
    <col min="12039" max="12039" width="40.28515625" style="559" customWidth="1"/>
    <col min="12040" max="12040" width="25.7109375" style="559" customWidth="1"/>
    <col min="12041" max="12041" width="15.7109375" style="559" customWidth="1"/>
    <col min="12042" max="12042" width="18.7109375" style="559" customWidth="1"/>
    <col min="12043" max="12043" width="27.42578125" style="559" customWidth="1"/>
    <col min="12044" max="12044" width="14.42578125" style="559" bestFit="1" customWidth="1"/>
    <col min="12045" max="12288" width="9.140625" style="559"/>
    <col min="12289" max="12289" width="75.42578125" style="559" bestFit="1" customWidth="1"/>
    <col min="12290" max="12290" width="19.7109375" style="559" bestFit="1" customWidth="1"/>
    <col min="12291" max="12291" width="14.28515625" style="559" customWidth="1"/>
    <col min="12292" max="12292" width="16.5703125" style="559" bestFit="1" customWidth="1"/>
    <col min="12293" max="12293" width="13.7109375" style="559" bestFit="1" customWidth="1"/>
    <col min="12294" max="12294" width="19.85546875" style="559" bestFit="1" customWidth="1"/>
    <col min="12295" max="12295" width="40.28515625" style="559" customWidth="1"/>
    <col min="12296" max="12296" width="25.7109375" style="559" customWidth="1"/>
    <col min="12297" max="12297" width="15.7109375" style="559" customWidth="1"/>
    <col min="12298" max="12298" width="18.7109375" style="559" customWidth="1"/>
    <col min="12299" max="12299" width="27.42578125" style="559" customWidth="1"/>
    <col min="12300" max="12300" width="14.42578125" style="559" bestFit="1" customWidth="1"/>
    <col min="12301" max="12544" width="9.140625" style="559"/>
    <col min="12545" max="12545" width="75.42578125" style="559" bestFit="1" customWidth="1"/>
    <col min="12546" max="12546" width="19.7109375" style="559" bestFit="1" customWidth="1"/>
    <col min="12547" max="12547" width="14.28515625" style="559" customWidth="1"/>
    <col min="12548" max="12548" width="16.5703125" style="559" bestFit="1" customWidth="1"/>
    <col min="12549" max="12549" width="13.7109375" style="559" bestFit="1" customWidth="1"/>
    <col min="12550" max="12550" width="19.85546875" style="559" bestFit="1" customWidth="1"/>
    <col min="12551" max="12551" width="40.28515625" style="559" customWidth="1"/>
    <col min="12552" max="12552" width="25.7109375" style="559" customWidth="1"/>
    <col min="12553" max="12553" width="15.7109375" style="559" customWidth="1"/>
    <col min="12554" max="12554" width="18.7109375" style="559" customWidth="1"/>
    <col min="12555" max="12555" width="27.42578125" style="559" customWidth="1"/>
    <col min="12556" max="12556" width="14.42578125" style="559" bestFit="1" customWidth="1"/>
    <col min="12557" max="12800" width="9.140625" style="559"/>
    <col min="12801" max="12801" width="75.42578125" style="559" bestFit="1" customWidth="1"/>
    <col min="12802" max="12802" width="19.7109375" style="559" bestFit="1" customWidth="1"/>
    <col min="12803" max="12803" width="14.28515625" style="559" customWidth="1"/>
    <col min="12804" max="12804" width="16.5703125" style="559" bestFit="1" customWidth="1"/>
    <col min="12805" max="12805" width="13.7109375" style="559" bestFit="1" customWidth="1"/>
    <col min="12806" max="12806" width="19.85546875" style="559" bestFit="1" customWidth="1"/>
    <col min="12807" max="12807" width="40.28515625" style="559" customWidth="1"/>
    <col min="12808" max="12808" width="25.7109375" style="559" customWidth="1"/>
    <col min="12809" max="12809" width="15.7109375" style="559" customWidth="1"/>
    <col min="12810" max="12810" width="18.7109375" style="559" customWidth="1"/>
    <col min="12811" max="12811" width="27.42578125" style="559" customWidth="1"/>
    <col min="12812" max="12812" width="14.42578125" style="559" bestFit="1" customWidth="1"/>
    <col min="12813" max="13056" width="9.140625" style="559"/>
    <col min="13057" max="13057" width="75.42578125" style="559" bestFit="1" customWidth="1"/>
    <col min="13058" max="13058" width="19.7109375" style="559" bestFit="1" customWidth="1"/>
    <col min="13059" max="13059" width="14.28515625" style="559" customWidth="1"/>
    <col min="13060" max="13060" width="16.5703125" style="559" bestFit="1" customWidth="1"/>
    <col min="13061" max="13061" width="13.7109375" style="559" bestFit="1" customWidth="1"/>
    <col min="13062" max="13062" width="19.85546875" style="559" bestFit="1" customWidth="1"/>
    <col min="13063" max="13063" width="40.28515625" style="559" customWidth="1"/>
    <col min="13064" max="13064" width="25.7109375" style="559" customWidth="1"/>
    <col min="13065" max="13065" width="15.7109375" style="559" customWidth="1"/>
    <col min="13066" max="13066" width="18.7109375" style="559" customWidth="1"/>
    <col min="13067" max="13067" width="27.42578125" style="559" customWidth="1"/>
    <col min="13068" max="13068" width="14.42578125" style="559" bestFit="1" customWidth="1"/>
    <col min="13069" max="13312" width="9.140625" style="559"/>
    <col min="13313" max="13313" width="75.42578125" style="559" bestFit="1" customWidth="1"/>
    <col min="13314" max="13314" width="19.7109375" style="559" bestFit="1" customWidth="1"/>
    <col min="13315" max="13315" width="14.28515625" style="559" customWidth="1"/>
    <col min="13316" max="13316" width="16.5703125" style="559" bestFit="1" customWidth="1"/>
    <col min="13317" max="13317" width="13.7109375" style="559" bestFit="1" customWidth="1"/>
    <col min="13318" max="13318" width="19.85546875" style="559" bestFit="1" customWidth="1"/>
    <col min="13319" max="13319" width="40.28515625" style="559" customWidth="1"/>
    <col min="13320" max="13320" width="25.7109375" style="559" customWidth="1"/>
    <col min="13321" max="13321" width="15.7109375" style="559" customWidth="1"/>
    <col min="13322" max="13322" width="18.7109375" style="559" customWidth="1"/>
    <col min="13323" max="13323" width="27.42578125" style="559" customWidth="1"/>
    <col min="13324" max="13324" width="14.42578125" style="559" bestFit="1" customWidth="1"/>
    <col min="13325" max="13568" width="9.140625" style="559"/>
    <col min="13569" max="13569" width="75.42578125" style="559" bestFit="1" customWidth="1"/>
    <col min="13570" max="13570" width="19.7109375" style="559" bestFit="1" customWidth="1"/>
    <col min="13571" max="13571" width="14.28515625" style="559" customWidth="1"/>
    <col min="13572" max="13572" width="16.5703125" style="559" bestFit="1" customWidth="1"/>
    <col min="13573" max="13573" width="13.7109375" style="559" bestFit="1" customWidth="1"/>
    <col min="13574" max="13574" width="19.85546875" style="559" bestFit="1" customWidth="1"/>
    <col min="13575" max="13575" width="40.28515625" style="559" customWidth="1"/>
    <col min="13576" max="13576" width="25.7109375" style="559" customWidth="1"/>
    <col min="13577" max="13577" width="15.7109375" style="559" customWidth="1"/>
    <col min="13578" max="13578" width="18.7109375" style="559" customWidth="1"/>
    <col min="13579" max="13579" width="27.42578125" style="559" customWidth="1"/>
    <col min="13580" max="13580" width="14.42578125" style="559" bestFit="1" customWidth="1"/>
    <col min="13581" max="13824" width="9.140625" style="559"/>
    <col min="13825" max="13825" width="75.42578125" style="559" bestFit="1" customWidth="1"/>
    <col min="13826" max="13826" width="19.7109375" style="559" bestFit="1" customWidth="1"/>
    <col min="13827" max="13827" width="14.28515625" style="559" customWidth="1"/>
    <col min="13828" max="13828" width="16.5703125" style="559" bestFit="1" customWidth="1"/>
    <col min="13829" max="13829" width="13.7109375" style="559" bestFit="1" customWidth="1"/>
    <col min="13830" max="13830" width="19.85546875" style="559" bestFit="1" customWidth="1"/>
    <col min="13831" max="13831" width="40.28515625" style="559" customWidth="1"/>
    <col min="13832" max="13832" width="25.7109375" style="559" customWidth="1"/>
    <col min="13833" max="13833" width="15.7109375" style="559" customWidth="1"/>
    <col min="13834" max="13834" width="18.7109375" style="559" customWidth="1"/>
    <col min="13835" max="13835" width="27.42578125" style="559" customWidth="1"/>
    <col min="13836" max="13836" width="14.42578125" style="559" bestFit="1" customWidth="1"/>
    <col min="13837" max="14080" width="9.140625" style="559"/>
    <col min="14081" max="14081" width="75.42578125" style="559" bestFit="1" customWidth="1"/>
    <col min="14082" max="14082" width="19.7109375" style="559" bestFit="1" customWidth="1"/>
    <col min="14083" max="14083" width="14.28515625" style="559" customWidth="1"/>
    <col min="14084" max="14084" width="16.5703125" style="559" bestFit="1" customWidth="1"/>
    <col min="14085" max="14085" width="13.7109375" style="559" bestFit="1" customWidth="1"/>
    <col min="14086" max="14086" width="19.85546875" style="559" bestFit="1" customWidth="1"/>
    <col min="14087" max="14087" width="40.28515625" style="559" customWidth="1"/>
    <col min="14088" max="14088" width="25.7109375" style="559" customWidth="1"/>
    <col min="14089" max="14089" width="15.7109375" style="559" customWidth="1"/>
    <col min="14090" max="14090" width="18.7109375" style="559" customWidth="1"/>
    <col min="14091" max="14091" width="27.42578125" style="559" customWidth="1"/>
    <col min="14092" max="14092" width="14.42578125" style="559" bestFit="1" customWidth="1"/>
    <col min="14093" max="14336" width="9.140625" style="559"/>
    <col min="14337" max="14337" width="75.42578125" style="559" bestFit="1" customWidth="1"/>
    <col min="14338" max="14338" width="19.7109375" style="559" bestFit="1" customWidth="1"/>
    <col min="14339" max="14339" width="14.28515625" style="559" customWidth="1"/>
    <col min="14340" max="14340" width="16.5703125" style="559" bestFit="1" customWidth="1"/>
    <col min="14341" max="14341" width="13.7109375" style="559" bestFit="1" customWidth="1"/>
    <col min="14342" max="14342" width="19.85546875" style="559" bestFit="1" customWidth="1"/>
    <col min="14343" max="14343" width="40.28515625" style="559" customWidth="1"/>
    <col min="14344" max="14344" width="25.7109375" style="559" customWidth="1"/>
    <col min="14345" max="14345" width="15.7109375" style="559" customWidth="1"/>
    <col min="14346" max="14346" width="18.7109375" style="559" customWidth="1"/>
    <col min="14347" max="14347" width="27.42578125" style="559" customWidth="1"/>
    <col min="14348" max="14348" width="14.42578125" style="559" bestFit="1" customWidth="1"/>
    <col min="14349" max="14592" width="9.140625" style="559"/>
    <col min="14593" max="14593" width="75.42578125" style="559" bestFit="1" customWidth="1"/>
    <col min="14594" max="14594" width="19.7109375" style="559" bestFit="1" customWidth="1"/>
    <col min="14595" max="14595" width="14.28515625" style="559" customWidth="1"/>
    <col min="14596" max="14596" width="16.5703125" style="559" bestFit="1" customWidth="1"/>
    <col min="14597" max="14597" width="13.7109375" style="559" bestFit="1" customWidth="1"/>
    <col min="14598" max="14598" width="19.85546875" style="559" bestFit="1" customWidth="1"/>
    <col min="14599" max="14599" width="40.28515625" style="559" customWidth="1"/>
    <col min="14600" max="14600" width="25.7109375" style="559" customWidth="1"/>
    <col min="14601" max="14601" width="15.7109375" style="559" customWidth="1"/>
    <col min="14602" max="14602" width="18.7109375" style="559" customWidth="1"/>
    <col min="14603" max="14603" width="27.42578125" style="559" customWidth="1"/>
    <col min="14604" max="14604" width="14.42578125" style="559" bestFit="1" customWidth="1"/>
    <col min="14605" max="14848" width="9.140625" style="559"/>
    <col min="14849" max="14849" width="75.42578125" style="559" bestFit="1" customWidth="1"/>
    <col min="14850" max="14850" width="19.7109375" style="559" bestFit="1" customWidth="1"/>
    <col min="14851" max="14851" width="14.28515625" style="559" customWidth="1"/>
    <col min="14852" max="14852" width="16.5703125" style="559" bestFit="1" customWidth="1"/>
    <col min="14853" max="14853" width="13.7109375" style="559" bestFit="1" customWidth="1"/>
    <col min="14854" max="14854" width="19.85546875" style="559" bestFit="1" customWidth="1"/>
    <col min="14855" max="14855" width="40.28515625" style="559" customWidth="1"/>
    <col min="14856" max="14856" width="25.7109375" style="559" customWidth="1"/>
    <col min="14857" max="14857" width="15.7109375" style="559" customWidth="1"/>
    <col min="14858" max="14858" width="18.7109375" style="559" customWidth="1"/>
    <col min="14859" max="14859" width="27.42578125" style="559" customWidth="1"/>
    <col min="14860" max="14860" width="14.42578125" style="559" bestFit="1" customWidth="1"/>
    <col min="14861" max="15104" width="9.140625" style="559"/>
    <col min="15105" max="15105" width="75.42578125" style="559" bestFit="1" customWidth="1"/>
    <col min="15106" max="15106" width="19.7109375" style="559" bestFit="1" customWidth="1"/>
    <col min="15107" max="15107" width="14.28515625" style="559" customWidth="1"/>
    <col min="15108" max="15108" width="16.5703125" style="559" bestFit="1" customWidth="1"/>
    <col min="15109" max="15109" width="13.7109375" style="559" bestFit="1" customWidth="1"/>
    <col min="15110" max="15110" width="19.85546875" style="559" bestFit="1" customWidth="1"/>
    <col min="15111" max="15111" width="40.28515625" style="559" customWidth="1"/>
    <col min="15112" max="15112" width="25.7109375" style="559" customWidth="1"/>
    <col min="15113" max="15113" width="15.7109375" style="559" customWidth="1"/>
    <col min="15114" max="15114" width="18.7109375" style="559" customWidth="1"/>
    <col min="15115" max="15115" width="27.42578125" style="559" customWidth="1"/>
    <col min="15116" max="15116" width="14.42578125" style="559" bestFit="1" customWidth="1"/>
    <col min="15117" max="15360" width="9.140625" style="559"/>
    <col min="15361" max="15361" width="75.42578125" style="559" bestFit="1" customWidth="1"/>
    <col min="15362" max="15362" width="19.7109375" style="559" bestFit="1" customWidth="1"/>
    <col min="15363" max="15363" width="14.28515625" style="559" customWidth="1"/>
    <col min="15364" max="15364" width="16.5703125" style="559" bestFit="1" customWidth="1"/>
    <col min="15365" max="15365" width="13.7109375" style="559" bestFit="1" customWidth="1"/>
    <col min="15366" max="15366" width="19.85546875" style="559" bestFit="1" customWidth="1"/>
    <col min="15367" max="15367" width="40.28515625" style="559" customWidth="1"/>
    <col min="15368" max="15368" width="25.7109375" style="559" customWidth="1"/>
    <col min="15369" max="15369" width="15.7109375" style="559" customWidth="1"/>
    <col min="15370" max="15370" width="18.7109375" style="559" customWidth="1"/>
    <col min="15371" max="15371" width="27.42578125" style="559" customWidth="1"/>
    <col min="15372" max="15372" width="14.42578125" style="559" bestFit="1" customWidth="1"/>
    <col min="15373" max="15616" width="9.140625" style="559"/>
    <col min="15617" max="15617" width="75.42578125" style="559" bestFit="1" customWidth="1"/>
    <col min="15618" max="15618" width="19.7109375" style="559" bestFit="1" customWidth="1"/>
    <col min="15619" max="15619" width="14.28515625" style="559" customWidth="1"/>
    <col min="15620" max="15620" width="16.5703125" style="559" bestFit="1" customWidth="1"/>
    <col min="15621" max="15621" width="13.7109375" style="559" bestFit="1" customWidth="1"/>
    <col min="15622" max="15622" width="19.85546875" style="559" bestFit="1" customWidth="1"/>
    <col min="15623" max="15623" width="40.28515625" style="559" customWidth="1"/>
    <col min="15624" max="15624" width="25.7109375" style="559" customWidth="1"/>
    <col min="15625" max="15625" width="15.7109375" style="559" customWidth="1"/>
    <col min="15626" max="15626" width="18.7109375" style="559" customWidth="1"/>
    <col min="15627" max="15627" width="27.42578125" style="559" customWidth="1"/>
    <col min="15628" max="15628" width="14.42578125" style="559" bestFit="1" customWidth="1"/>
    <col min="15629" max="15872" width="9.140625" style="559"/>
    <col min="15873" max="15873" width="75.42578125" style="559" bestFit="1" customWidth="1"/>
    <col min="15874" max="15874" width="19.7109375" style="559" bestFit="1" customWidth="1"/>
    <col min="15875" max="15875" width="14.28515625" style="559" customWidth="1"/>
    <col min="15876" max="15876" width="16.5703125" style="559" bestFit="1" customWidth="1"/>
    <col min="15877" max="15877" width="13.7109375" style="559" bestFit="1" customWidth="1"/>
    <col min="15878" max="15878" width="19.85546875" style="559" bestFit="1" customWidth="1"/>
    <col min="15879" max="15879" width="40.28515625" style="559" customWidth="1"/>
    <col min="15880" max="15880" width="25.7109375" style="559" customWidth="1"/>
    <col min="15881" max="15881" width="15.7109375" style="559" customWidth="1"/>
    <col min="15882" max="15882" width="18.7109375" style="559" customWidth="1"/>
    <col min="15883" max="15883" width="27.42578125" style="559" customWidth="1"/>
    <col min="15884" max="15884" width="14.42578125" style="559" bestFit="1" customWidth="1"/>
    <col min="15885" max="16128" width="9.140625" style="559"/>
    <col min="16129" max="16129" width="75.42578125" style="559" bestFit="1" customWidth="1"/>
    <col min="16130" max="16130" width="19.7109375" style="559" bestFit="1" customWidth="1"/>
    <col min="16131" max="16131" width="14.28515625" style="559" customWidth="1"/>
    <col min="16132" max="16132" width="16.5703125" style="559" bestFit="1" customWidth="1"/>
    <col min="16133" max="16133" width="13.7109375" style="559" bestFit="1" customWidth="1"/>
    <col min="16134" max="16134" width="19.85546875" style="559" bestFit="1" customWidth="1"/>
    <col min="16135" max="16135" width="40.28515625" style="559" customWidth="1"/>
    <col min="16136" max="16136" width="25.7109375" style="559" customWidth="1"/>
    <col min="16137" max="16137" width="15.7109375" style="559" customWidth="1"/>
    <col min="16138" max="16138" width="18.7109375" style="559" customWidth="1"/>
    <col min="16139" max="16139" width="27.42578125" style="559" customWidth="1"/>
    <col min="16140" max="16140" width="14.42578125" style="559" bestFit="1" customWidth="1"/>
    <col min="16141" max="16384" width="9.140625" style="559"/>
  </cols>
  <sheetData>
    <row r="1" spans="1:6" ht="15.75">
      <c r="A1" s="1190" t="s">
        <v>667</v>
      </c>
      <c r="B1" s="1191"/>
      <c r="C1" s="1191"/>
      <c r="D1" s="1191"/>
      <c r="E1" s="1191"/>
      <c r="F1" s="1192"/>
    </row>
    <row r="2" spans="1:6" ht="15.75">
      <c r="A2" s="1193"/>
      <c r="B2" s="1194"/>
      <c r="C2" s="1194"/>
      <c r="D2" s="1194"/>
      <c r="E2" s="1194"/>
      <c r="F2" s="1195"/>
    </row>
    <row r="3" spans="1:6" ht="15.75">
      <c r="A3" s="589" t="s">
        <v>118</v>
      </c>
      <c r="B3" s="590" t="s">
        <v>219</v>
      </c>
      <c r="C3" s="590"/>
      <c r="D3" s="590"/>
      <c r="E3" s="590"/>
      <c r="F3" s="591" t="s">
        <v>119</v>
      </c>
    </row>
    <row r="4" spans="1:6" ht="15.75">
      <c r="A4" s="589" t="s">
        <v>120</v>
      </c>
      <c r="B4" s="592" t="s">
        <v>121</v>
      </c>
      <c r="C4" s="592" t="s">
        <v>17</v>
      </c>
      <c r="D4" s="592" t="s">
        <v>122</v>
      </c>
      <c r="E4" s="592" t="s">
        <v>123</v>
      </c>
      <c r="F4" s="591"/>
    </row>
    <row r="5" spans="1:6" ht="15.75">
      <c r="A5" s="1193" t="s">
        <v>653</v>
      </c>
      <c r="B5" s="1194"/>
      <c r="C5" s="1194"/>
      <c r="D5" s="1194"/>
      <c r="E5" s="1194"/>
      <c r="F5" s="1195"/>
    </row>
    <row r="6" spans="1:6" ht="66" customHeight="1">
      <c r="A6" s="593" t="s">
        <v>668</v>
      </c>
      <c r="B6" s="594" t="s">
        <v>124</v>
      </c>
      <c r="C6" s="595" t="s">
        <v>220</v>
      </c>
      <c r="D6" s="596">
        <v>0.6</v>
      </c>
      <c r="E6" s="597">
        <f>0.283*2</f>
        <v>0.56599999999999995</v>
      </c>
      <c r="F6" s="598"/>
    </row>
    <row r="7" spans="1:6" ht="60" customHeight="1">
      <c r="A7" s="593" t="s">
        <v>668</v>
      </c>
      <c r="B7" s="594" t="s">
        <v>141</v>
      </c>
      <c r="C7" s="595" t="s">
        <v>142</v>
      </c>
      <c r="D7" s="596" t="s">
        <v>221</v>
      </c>
      <c r="E7" s="597">
        <f>(0.25*0.45)*2</f>
        <v>0.22500000000000001</v>
      </c>
      <c r="F7" s="598">
        <v>2</v>
      </c>
    </row>
    <row r="8" spans="1:6" ht="18.75" customHeight="1">
      <c r="A8" s="599"/>
      <c r="B8" s="600"/>
      <c r="C8" s="601"/>
      <c r="D8" s="602"/>
      <c r="E8" s="603"/>
      <c r="F8" s="604"/>
    </row>
    <row r="9" spans="1:6" ht="15.75">
      <c r="A9" s="1193" t="s">
        <v>654</v>
      </c>
      <c r="B9" s="1194"/>
      <c r="C9" s="1194"/>
      <c r="D9" s="1194"/>
      <c r="E9" s="1194"/>
      <c r="F9" s="1195"/>
    </row>
    <row r="10" spans="1:6" ht="60" customHeight="1">
      <c r="A10" s="593" t="s">
        <v>669</v>
      </c>
      <c r="B10" s="594" t="s">
        <v>124</v>
      </c>
      <c r="C10" s="595" t="s">
        <v>220</v>
      </c>
      <c r="D10" s="596">
        <v>0.6</v>
      </c>
      <c r="E10" s="597">
        <f>0.283*2</f>
        <v>0.56599999999999995</v>
      </c>
      <c r="F10" s="598"/>
    </row>
    <row r="11" spans="1:6" ht="60" customHeight="1">
      <c r="A11" s="593" t="s">
        <v>669</v>
      </c>
      <c r="B11" s="594" t="s">
        <v>141</v>
      </c>
      <c r="C11" s="595" t="s">
        <v>142</v>
      </c>
      <c r="D11" s="596" t="s">
        <v>221</v>
      </c>
      <c r="E11" s="597">
        <f>(0.25*0.45)*2</f>
        <v>0.22500000000000001</v>
      </c>
      <c r="F11" s="598">
        <v>2</v>
      </c>
    </row>
    <row r="12" spans="1:6" ht="18.75">
      <c r="A12" s="1196"/>
      <c r="B12" s="1197"/>
      <c r="C12" s="1197"/>
      <c r="D12" s="1197"/>
      <c r="E12" s="1197"/>
      <c r="F12" s="1198"/>
    </row>
    <row r="13" spans="1:6" ht="18.75">
      <c r="A13" s="1187" t="s">
        <v>652</v>
      </c>
      <c r="B13" s="1188"/>
      <c r="C13" s="1188"/>
      <c r="D13" s="1188"/>
      <c r="E13" s="1188"/>
      <c r="F13" s="1189"/>
    </row>
    <row r="14" spans="1:6" ht="67.5" customHeight="1">
      <c r="A14" s="593" t="s">
        <v>670</v>
      </c>
      <c r="B14" s="594" t="s">
        <v>124</v>
      </c>
      <c r="C14" s="595" t="s">
        <v>220</v>
      </c>
      <c r="D14" s="596">
        <v>0.6</v>
      </c>
      <c r="E14" s="597">
        <f>0.283*2</f>
        <v>0.56599999999999995</v>
      </c>
      <c r="F14" s="598"/>
    </row>
    <row r="15" spans="1:6" ht="60" customHeight="1">
      <c r="A15" s="593" t="s">
        <v>670</v>
      </c>
      <c r="B15" s="594" t="s">
        <v>141</v>
      </c>
      <c r="C15" s="595" t="s">
        <v>142</v>
      </c>
      <c r="D15" s="596" t="s">
        <v>221</v>
      </c>
      <c r="E15" s="597">
        <f>(0.25*0.45)*2</f>
        <v>0.22500000000000001</v>
      </c>
      <c r="F15" s="598">
        <v>2</v>
      </c>
    </row>
    <row r="16" spans="1:6" ht="18.75">
      <c r="A16" s="607"/>
      <c r="B16" s="600"/>
      <c r="C16" s="601"/>
      <c r="D16" s="602"/>
      <c r="E16" s="603"/>
      <c r="F16" s="604"/>
    </row>
    <row r="17" spans="1:6" ht="18.75">
      <c r="A17" s="599"/>
      <c r="B17" s="605"/>
      <c r="C17" s="605"/>
      <c r="D17" s="605"/>
      <c r="E17" s="605"/>
      <c r="F17" s="606"/>
    </row>
    <row r="18" spans="1:6" ht="18.75">
      <c r="A18" s="608" t="s">
        <v>124</v>
      </c>
      <c r="B18" s="595"/>
      <c r="C18" s="595"/>
      <c r="D18" s="595" t="s">
        <v>638</v>
      </c>
      <c r="E18" s="609">
        <f>E6+E10+E14</f>
        <v>1.698</v>
      </c>
      <c r="F18" s="610"/>
    </row>
    <row r="19" spans="1:6" ht="19.5" thickBot="1">
      <c r="A19" s="611" t="s">
        <v>141</v>
      </c>
      <c r="B19" s="612"/>
      <c r="C19" s="612"/>
      <c r="D19" s="612" t="s">
        <v>639</v>
      </c>
      <c r="E19" s="613">
        <f>F7+F11+F15</f>
        <v>6</v>
      </c>
      <c r="F19" s="614"/>
    </row>
  </sheetData>
  <mergeCells count="6">
    <mergeCell ref="A13:F13"/>
    <mergeCell ref="A1:F1"/>
    <mergeCell ref="A2:F2"/>
    <mergeCell ref="A5:F5"/>
    <mergeCell ref="A9:F9"/>
    <mergeCell ref="A12:F12"/>
  </mergeCells>
  <pageMargins left="0.511811024" right="0.511811024" top="0.78740157499999996" bottom="0.78740157499999996" header="0.31496062000000002" footer="0.31496062000000002"/>
  <pageSetup paperSize="8" scale="6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B1:M73"/>
  <sheetViews>
    <sheetView zoomScale="85" zoomScaleNormal="85" zoomScaleSheetLayoutView="100" workbookViewId="0">
      <selection activeCell="E22" sqref="E22"/>
    </sheetView>
  </sheetViews>
  <sheetFormatPr defaultColWidth="9.140625" defaultRowHeight="15"/>
  <cols>
    <col min="1" max="1" width="3.85546875" style="451" customWidth="1"/>
    <col min="2" max="2" width="8.28515625" style="451" customWidth="1"/>
    <col min="3" max="3" width="14.7109375" style="452" customWidth="1"/>
    <col min="4" max="4" width="14.7109375" style="451" customWidth="1"/>
    <col min="5" max="5" width="130.7109375" style="451" customWidth="1"/>
    <col min="6" max="6" width="9.5703125" style="451" customWidth="1"/>
    <col min="7" max="7" width="14.7109375" style="451" customWidth="1"/>
    <col min="8" max="8" width="10.5703125" style="451" bestFit="1" customWidth="1"/>
    <col min="9" max="16384" width="9.140625" style="451"/>
  </cols>
  <sheetData>
    <row r="1" spans="2:10" ht="19.5" customHeight="1" thickBot="1"/>
    <row r="2" spans="2:10" ht="25.5" customHeight="1">
      <c r="B2" s="677" t="s">
        <v>97</v>
      </c>
      <c r="C2" s="678"/>
      <c r="D2" s="678"/>
      <c r="E2" s="678"/>
      <c r="F2" s="678"/>
      <c r="G2" s="675" t="s">
        <v>46</v>
      </c>
    </row>
    <row r="3" spans="2:10" ht="24" customHeight="1">
      <c r="B3" s="679" t="str">
        <f>RESUMO!B42</f>
        <v>BAIRRO</v>
      </c>
      <c r="C3" s="680"/>
      <c r="D3" s="681" t="str">
        <f>RESUMO!C42</f>
        <v>MAPIM</v>
      </c>
      <c r="E3" s="682"/>
      <c r="F3" s="683"/>
      <c r="G3" s="676"/>
    </row>
    <row r="4" spans="2:10" ht="19.5" customHeight="1">
      <c r="B4" s="689" t="str">
        <f>RESUMO!B43</f>
        <v>LOGRADOUROS</v>
      </c>
      <c r="C4" s="686"/>
      <c r="D4" s="684" t="str">
        <f>RESUMO!C43</f>
        <v>Rua Belga, Rua Março e Rua Julho</v>
      </c>
      <c r="E4" s="685"/>
      <c r="F4" s="686"/>
      <c r="G4" s="690">
        <f>RESUMO!D39</f>
        <v>3535</v>
      </c>
    </row>
    <row r="5" spans="2:10" ht="24" customHeight="1">
      <c r="B5" s="672"/>
      <c r="C5" s="688"/>
      <c r="D5" s="687"/>
      <c r="E5" s="673"/>
      <c r="F5" s="688"/>
      <c r="G5" s="691"/>
    </row>
    <row r="6" spans="2:10" ht="22.15" customHeight="1">
      <c r="B6" s="672" t="s">
        <v>545</v>
      </c>
      <c r="C6" s="673"/>
      <c r="D6" s="673"/>
      <c r="E6" s="673"/>
      <c r="F6" s="673"/>
      <c r="G6" s="674"/>
    </row>
    <row r="7" spans="2:10" s="457" customFormat="1">
      <c r="B7" s="453" t="s">
        <v>37</v>
      </c>
      <c r="C7" s="454" t="s">
        <v>17</v>
      </c>
      <c r="D7" s="455" t="s">
        <v>168</v>
      </c>
      <c r="E7" s="455" t="s">
        <v>0</v>
      </c>
      <c r="F7" s="455" t="s">
        <v>1</v>
      </c>
      <c r="G7" s="456" t="s">
        <v>2</v>
      </c>
    </row>
    <row r="8" spans="2:10">
      <c r="B8" s="453" t="s">
        <v>50</v>
      </c>
      <c r="C8" s="454" t="s">
        <v>227</v>
      </c>
      <c r="D8" s="458"/>
      <c r="E8" s="459" t="s">
        <v>31</v>
      </c>
      <c r="F8" s="460"/>
      <c r="G8" s="461"/>
    </row>
    <row r="9" spans="2:10">
      <c r="B9" s="462" t="s">
        <v>51</v>
      </c>
      <c r="C9" s="463" t="s">
        <v>297</v>
      </c>
      <c r="D9" s="464" t="s">
        <v>274</v>
      </c>
      <c r="E9" s="465" t="s">
        <v>147</v>
      </c>
      <c r="F9" s="464" t="s">
        <v>6</v>
      </c>
      <c r="G9" s="466">
        <v>12</v>
      </c>
    </row>
    <row r="10" spans="2:10">
      <c r="B10" s="462" t="s">
        <v>52</v>
      </c>
      <c r="C10" s="464">
        <v>93584</v>
      </c>
      <c r="D10" s="464" t="s">
        <v>169</v>
      </c>
      <c r="E10" s="465" t="s">
        <v>155</v>
      </c>
      <c r="F10" s="464" t="s">
        <v>6</v>
      </c>
      <c r="G10" s="467">
        <v>25</v>
      </c>
    </row>
    <row r="11" spans="2:10" ht="30">
      <c r="B11" s="468" t="s">
        <v>90</v>
      </c>
      <c r="C11" s="463" t="s">
        <v>298</v>
      </c>
      <c r="D11" s="464" t="s">
        <v>274</v>
      </c>
      <c r="E11" s="469" t="s">
        <v>54</v>
      </c>
      <c r="F11" s="464" t="s">
        <v>55</v>
      </c>
      <c r="G11" s="466">
        <v>4</v>
      </c>
    </row>
    <row r="12" spans="2:10">
      <c r="B12" s="462"/>
      <c r="C12" s="464"/>
      <c r="D12" s="464"/>
      <c r="E12" s="464"/>
      <c r="F12" s="460"/>
      <c r="G12" s="466"/>
    </row>
    <row r="13" spans="2:10">
      <c r="B13" s="453" t="s">
        <v>38</v>
      </c>
      <c r="C13" s="454" t="s">
        <v>28</v>
      </c>
      <c r="D13" s="464"/>
      <c r="E13" s="459" t="s">
        <v>154</v>
      </c>
      <c r="F13" s="464"/>
      <c r="G13" s="467"/>
    </row>
    <row r="14" spans="2:10">
      <c r="B14" s="462" t="s">
        <v>49</v>
      </c>
      <c r="C14" s="463" t="s">
        <v>276</v>
      </c>
      <c r="D14" s="464" t="s">
        <v>274</v>
      </c>
      <c r="E14" s="465" t="s">
        <v>275</v>
      </c>
      <c r="F14" s="460" t="s">
        <v>9</v>
      </c>
      <c r="G14" s="467">
        <v>1</v>
      </c>
      <c r="H14" s="470"/>
      <c r="J14" s="471"/>
    </row>
    <row r="15" spans="2:10">
      <c r="B15" s="468"/>
      <c r="C15" s="464"/>
      <c r="D15" s="464"/>
      <c r="E15" s="465"/>
      <c r="F15" s="472"/>
      <c r="G15" s="466"/>
    </row>
    <row r="16" spans="2:10" s="457" customFormat="1">
      <c r="B16" s="473" t="s">
        <v>39</v>
      </c>
      <c r="C16" s="474" t="s">
        <v>29</v>
      </c>
      <c r="D16" s="464"/>
      <c r="E16" s="459" t="s">
        <v>143</v>
      </c>
      <c r="F16" s="475"/>
      <c r="G16" s="466"/>
    </row>
    <row r="17" spans="2:13">
      <c r="B17" s="468" t="s">
        <v>47</v>
      </c>
      <c r="C17" s="463" t="s">
        <v>277</v>
      </c>
      <c r="D17" s="464" t="s">
        <v>274</v>
      </c>
      <c r="E17" s="465" t="s">
        <v>144</v>
      </c>
      <c r="F17" s="464" t="s">
        <v>6</v>
      </c>
      <c r="G17" s="466">
        <f>'TERRAP E PAVIM'!Q16</f>
        <v>3442.5</v>
      </c>
    </row>
    <row r="18" spans="2:13">
      <c r="B18" s="468" t="s">
        <v>56</v>
      </c>
      <c r="C18" s="463" t="s">
        <v>278</v>
      </c>
      <c r="D18" s="464" t="s">
        <v>274</v>
      </c>
      <c r="E18" s="465" t="s">
        <v>145</v>
      </c>
      <c r="F18" s="464" t="s">
        <v>4</v>
      </c>
      <c r="G18" s="466">
        <f>'TERRAP E PAVIM'!T16</f>
        <v>688.5</v>
      </c>
    </row>
    <row r="19" spans="2:13" ht="30">
      <c r="B19" s="468" t="s">
        <v>57</v>
      </c>
      <c r="C19" s="463" t="s">
        <v>279</v>
      </c>
      <c r="D19" s="464" t="s">
        <v>274</v>
      </c>
      <c r="E19" s="469" t="s">
        <v>153</v>
      </c>
      <c r="F19" s="464" t="s">
        <v>146</v>
      </c>
      <c r="G19" s="466">
        <f>'TERRAP E PAVIM'!X16/200</f>
        <v>4.9450000000000003</v>
      </c>
    </row>
    <row r="20" spans="2:13">
      <c r="B20" s="462"/>
      <c r="C20" s="476"/>
      <c r="D20" s="464"/>
      <c r="E20" s="460"/>
      <c r="F20" s="460"/>
      <c r="G20" s="461"/>
    </row>
    <row r="21" spans="2:13">
      <c r="B21" s="477" t="s">
        <v>43</v>
      </c>
      <c r="C21" s="455" t="s">
        <v>30</v>
      </c>
      <c r="D21" s="464"/>
      <c r="E21" s="478" t="s">
        <v>3</v>
      </c>
      <c r="F21" s="460"/>
      <c r="G21" s="461"/>
    </row>
    <row r="22" spans="2:13">
      <c r="B22" s="479" t="s">
        <v>44</v>
      </c>
      <c r="C22" s="463" t="s">
        <v>280</v>
      </c>
      <c r="D22" s="464" t="s">
        <v>274</v>
      </c>
      <c r="E22" s="480" t="s">
        <v>99</v>
      </c>
      <c r="F22" s="460" t="s">
        <v>6</v>
      </c>
      <c r="G22" s="466">
        <f>'TERRAP E PAVIM'!N16</f>
        <v>1715</v>
      </c>
    </row>
    <row r="23" spans="2:13">
      <c r="B23" s="479" t="s">
        <v>222</v>
      </c>
      <c r="C23" s="463" t="s">
        <v>282</v>
      </c>
      <c r="D23" s="464" t="s">
        <v>274</v>
      </c>
      <c r="E23" s="469" t="s">
        <v>209</v>
      </c>
      <c r="F23" s="464" t="s">
        <v>4</v>
      </c>
      <c r="G23" s="467">
        <f>(('TERRAP E PAVIM'!O16)-(G25*1.15))</f>
        <v>588.16400000000033</v>
      </c>
      <c r="L23" s="481"/>
      <c r="M23" s="481"/>
    </row>
    <row r="24" spans="2:13" ht="30">
      <c r="B24" s="479" t="s">
        <v>217</v>
      </c>
      <c r="C24" s="464">
        <v>5502137</v>
      </c>
      <c r="D24" s="464" t="s">
        <v>269</v>
      </c>
      <c r="E24" s="482" t="s">
        <v>281</v>
      </c>
      <c r="F24" s="464" t="s">
        <v>4</v>
      </c>
      <c r="G24" s="466">
        <f>'TERRAP E PAVIM'!P16*1.15</f>
        <v>790.32599999999991</v>
      </c>
      <c r="H24" s="483"/>
    </row>
    <row r="25" spans="2:13">
      <c r="B25" s="479" t="s">
        <v>208</v>
      </c>
      <c r="C25" s="464">
        <v>5503041</v>
      </c>
      <c r="D25" s="464" t="s">
        <v>269</v>
      </c>
      <c r="E25" s="480" t="s">
        <v>218</v>
      </c>
      <c r="F25" s="464" t="s">
        <v>4</v>
      </c>
      <c r="G25" s="466">
        <f>'TERRAP E PAVIM'!P16</f>
        <v>687.24</v>
      </c>
    </row>
    <row r="26" spans="2:13">
      <c r="B26" s="479" t="s">
        <v>223</v>
      </c>
      <c r="C26" s="464">
        <v>93595</v>
      </c>
      <c r="D26" s="464" t="s">
        <v>169</v>
      </c>
      <c r="E26" s="484" t="s">
        <v>212</v>
      </c>
      <c r="F26" s="464" t="s">
        <v>58</v>
      </c>
      <c r="G26" s="466">
        <f>TRANSP!J8</f>
        <v>3852.7094656000022</v>
      </c>
    </row>
    <row r="27" spans="2:13">
      <c r="B27" s="479" t="s">
        <v>210</v>
      </c>
      <c r="C27" s="464">
        <v>95878</v>
      </c>
      <c r="D27" s="464" t="s">
        <v>169</v>
      </c>
      <c r="E27" s="484" t="s">
        <v>213</v>
      </c>
      <c r="F27" s="464" t="s">
        <v>58</v>
      </c>
      <c r="G27" s="466">
        <f>TRANSP!J14</f>
        <v>22878.168006400014</v>
      </c>
    </row>
    <row r="28" spans="2:13">
      <c r="B28" s="479" t="s">
        <v>211</v>
      </c>
      <c r="C28" s="463" t="s">
        <v>283</v>
      </c>
      <c r="D28" s="464" t="s">
        <v>274</v>
      </c>
      <c r="E28" s="465" t="s">
        <v>214</v>
      </c>
      <c r="F28" s="464" t="s">
        <v>4</v>
      </c>
      <c r="G28" s="466">
        <f>G23+G24</f>
        <v>1378.4900000000002</v>
      </c>
    </row>
    <row r="29" spans="2:13">
      <c r="B29" s="479"/>
      <c r="C29" s="485"/>
      <c r="D29" s="464"/>
      <c r="E29" s="486"/>
      <c r="F29" s="460"/>
      <c r="G29" s="466"/>
      <c r="I29" s="487"/>
    </row>
    <row r="30" spans="2:13">
      <c r="B30" s="477" t="s">
        <v>45</v>
      </c>
      <c r="C30" s="455" t="s">
        <v>32</v>
      </c>
      <c r="D30" s="464"/>
      <c r="E30" s="478" t="s">
        <v>5</v>
      </c>
      <c r="F30" s="460"/>
      <c r="G30" s="466"/>
    </row>
    <row r="31" spans="2:13">
      <c r="B31" s="479" t="s">
        <v>48</v>
      </c>
      <c r="C31" s="463" t="s">
        <v>285</v>
      </c>
      <c r="D31" s="464" t="s">
        <v>274</v>
      </c>
      <c r="E31" s="465" t="s">
        <v>100</v>
      </c>
      <c r="F31" s="460" t="s">
        <v>6</v>
      </c>
      <c r="G31" s="466">
        <f>'TERRAP E PAVIM'!Q16</f>
        <v>3442.5</v>
      </c>
    </row>
    <row r="32" spans="2:13">
      <c r="B32" s="479" t="s">
        <v>53</v>
      </c>
      <c r="C32" s="464" t="s">
        <v>284</v>
      </c>
      <c r="D32" s="464" t="s">
        <v>170</v>
      </c>
      <c r="E32" s="465" t="s">
        <v>156</v>
      </c>
      <c r="F32" s="464" t="s">
        <v>4</v>
      </c>
      <c r="G32" s="467">
        <f>('TERRAP E PAVIM'!R16+'TERRAP E PAVIM'!S16+'TERRAP E PAVIM'!T16)*1.15</f>
        <v>791.77499999999998</v>
      </c>
    </row>
    <row r="33" spans="2:8">
      <c r="B33" s="479" t="s">
        <v>157</v>
      </c>
      <c r="C33" s="463" t="s">
        <v>286</v>
      </c>
      <c r="D33" s="464" t="s">
        <v>274</v>
      </c>
      <c r="E33" s="469" t="s">
        <v>101</v>
      </c>
      <c r="F33" s="464" t="s">
        <v>4</v>
      </c>
      <c r="G33" s="467">
        <f>'TERRAP E PAVIM'!T16</f>
        <v>688.5</v>
      </c>
      <c r="H33" s="123"/>
    </row>
    <row r="34" spans="2:8">
      <c r="B34" s="479" t="s">
        <v>158</v>
      </c>
      <c r="C34" s="463" t="s">
        <v>287</v>
      </c>
      <c r="D34" s="464" t="s">
        <v>274</v>
      </c>
      <c r="E34" s="465" t="s">
        <v>102</v>
      </c>
      <c r="F34" s="460" t="s">
        <v>6</v>
      </c>
      <c r="G34" s="466">
        <f>'TERRAP E PAVIM'!U16</f>
        <v>2887</v>
      </c>
    </row>
    <row r="35" spans="2:8">
      <c r="B35" s="479" t="s">
        <v>159</v>
      </c>
      <c r="C35" s="463" t="s">
        <v>288</v>
      </c>
      <c r="D35" s="464" t="s">
        <v>274</v>
      </c>
      <c r="E35" s="465" t="s">
        <v>164</v>
      </c>
      <c r="F35" s="460" t="s">
        <v>6</v>
      </c>
      <c r="G35" s="466">
        <f>'TERRAP E PAVIM'!V16</f>
        <v>2887</v>
      </c>
    </row>
    <row r="36" spans="2:8" ht="30">
      <c r="B36" s="479" t="s">
        <v>160</v>
      </c>
      <c r="C36" s="463" t="s">
        <v>289</v>
      </c>
      <c r="D36" s="464" t="s">
        <v>274</v>
      </c>
      <c r="E36" s="469" t="s">
        <v>290</v>
      </c>
      <c r="F36" s="460" t="s">
        <v>4</v>
      </c>
      <c r="G36" s="466">
        <f>'TERRAP E PAVIM'!W16</f>
        <v>86.61</v>
      </c>
    </row>
    <row r="37" spans="2:8">
      <c r="B37" s="479" t="s">
        <v>161</v>
      </c>
      <c r="C37" s="463" t="s">
        <v>319</v>
      </c>
      <c r="D37" s="464" t="s">
        <v>274</v>
      </c>
      <c r="E37" s="469" t="s">
        <v>228</v>
      </c>
      <c r="F37" s="460" t="s">
        <v>4</v>
      </c>
      <c r="G37" s="466">
        <f>'TERRAP E PAVIM'!W16</f>
        <v>86.61</v>
      </c>
    </row>
    <row r="38" spans="2:8">
      <c r="B38" s="479" t="s">
        <v>162</v>
      </c>
      <c r="C38" s="464">
        <v>93595</v>
      </c>
      <c r="D38" s="464" t="s">
        <v>169</v>
      </c>
      <c r="E38" s="469" t="s">
        <v>204</v>
      </c>
      <c r="F38" s="460" t="s">
        <v>58</v>
      </c>
      <c r="G38" s="466">
        <f>TRANSP!J21</f>
        <v>4509.9504000000006</v>
      </c>
    </row>
    <row r="39" spans="2:8">
      <c r="B39" s="479" t="s">
        <v>163</v>
      </c>
      <c r="C39" s="464">
        <v>95878</v>
      </c>
      <c r="D39" s="464" t="s">
        <v>169</v>
      </c>
      <c r="E39" s="469" t="s">
        <v>202</v>
      </c>
      <c r="F39" s="460" t="s">
        <v>58</v>
      </c>
      <c r="G39" s="466">
        <f>TRANSP!J27</f>
        <v>26780.997600000002</v>
      </c>
    </row>
    <row r="40" spans="2:8">
      <c r="B40" s="479" t="s">
        <v>229</v>
      </c>
      <c r="C40" s="463" t="s">
        <v>291</v>
      </c>
      <c r="D40" s="464" t="s">
        <v>274</v>
      </c>
      <c r="E40" s="469" t="s">
        <v>225</v>
      </c>
      <c r="F40" s="460" t="s">
        <v>171</v>
      </c>
      <c r="G40" s="466">
        <f>TRANSP!J33</f>
        <v>996.01</v>
      </c>
    </row>
    <row r="41" spans="2:8">
      <c r="B41" s="479"/>
      <c r="C41" s="460"/>
      <c r="D41" s="464"/>
      <c r="E41" s="460"/>
      <c r="F41" s="460"/>
      <c r="G41" s="466"/>
    </row>
    <row r="42" spans="2:8">
      <c r="B42" s="488" t="s">
        <v>103</v>
      </c>
      <c r="C42" s="450" t="s">
        <v>35</v>
      </c>
      <c r="D42" s="489"/>
      <c r="E42" s="490" t="s">
        <v>104</v>
      </c>
      <c r="F42" s="489"/>
      <c r="G42" s="491"/>
    </row>
    <row r="43" spans="2:8">
      <c r="B43" s="479" t="s">
        <v>105</v>
      </c>
      <c r="C43" s="463" t="s">
        <v>292</v>
      </c>
      <c r="D43" s="464" t="s">
        <v>274</v>
      </c>
      <c r="E43" s="465" t="s">
        <v>106</v>
      </c>
      <c r="F43" s="464" t="s">
        <v>6</v>
      </c>
      <c r="G43" s="467">
        <f>'SN HOR1'!C68</f>
        <v>247.54249999999999</v>
      </c>
    </row>
    <row r="44" spans="2:8">
      <c r="B44" s="479" t="s">
        <v>107</v>
      </c>
      <c r="C44" s="464">
        <v>5213405</v>
      </c>
      <c r="D44" s="464" t="s">
        <v>269</v>
      </c>
      <c r="E44" s="465" t="s">
        <v>166</v>
      </c>
      <c r="F44" s="464" t="s">
        <v>6</v>
      </c>
      <c r="G44" s="467">
        <f>'SN HOR1'!C69</f>
        <v>23.34</v>
      </c>
    </row>
    <row r="45" spans="2:8">
      <c r="B45" s="479" t="s">
        <v>108</v>
      </c>
      <c r="C45" s="464">
        <v>5213417</v>
      </c>
      <c r="D45" s="464" t="s">
        <v>269</v>
      </c>
      <c r="E45" s="465" t="s">
        <v>165</v>
      </c>
      <c r="F45" s="464" t="s">
        <v>6</v>
      </c>
      <c r="G45" s="467">
        <f>'SN VERT1'!E18</f>
        <v>1.698</v>
      </c>
    </row>
    <row r="46" spans="2:8">
      <c r="B46" s="479" t="s">
        <v>196</v>
      </c>
      <c r="C46" s="460">
        <v>5213855</v>
      </c>
      <c r="D46" s="464" t="s">
        <v>269</v>
      </c>
      <c r="E46" s="484" t="s">
        <v>195</v>
      </c>
      <c r="F46" s="460" t="s">
        <v>9</v>
      </c>
      <c r="G46" s="466">
        <f>'SN VERT1'!E19</f>
        <v>6</v>
      </c>
    </row>
    <row r="47" spans="2:8">
      <c r="B47" s="479"/>
      <c r="C47" s="460"/>
      <c r="D47" s="464"/>
      <c r="E47" s="460"/>
      <c r="F47" s="460"/>
      <c r="G47" s="492"/>
    </row>
    <row r="48" spans="2:8">
      <c r="B48" s="477" t="s">
        <v>148</v>
      </c>
      <c r="C48" s="455" t="s">
        <v>125</v>
      </c>
      <c r="D48" s="464"/>
      <c r="E48" s="493" t="s">
        <v>10</v>
      </c>
      <c r="F48" s="464"/>
      <c r="G48" s="494"/>
    </row>
    <row r="49" spans="2:8">
      <c r="B49" s="468" t="s">
        <v>149</v>
      </c>
      <c r="C49" s="464">
        <v>94267</v>
      </c>
      <c r="D49" s="464" t="s">
        <v>169</v>
      </c>
      <c r="E49" s="469" t="s">
        <v>257</v>
      </c>
      <c r="F49" s="464" t="s">
        <v>8</v>
      </c>
      <c r="G49" s="467">
        <f>'TERRAP E PAVIM'!X16-G50</f>
        <v>833.57600000000002</v>
      </c>
    </row>
    <row r="50" spans="2:8">
      <c r="B50" s="468" t="s">
        <v>174</v>
      </c>
      <c r="C50" s="464">
        <v>94268</v>
      </c>
      <c r="D50" s="464" t="s">
        <v>169</v>
      </c>
      <c r="E50" s="469" t="s">
        <v>258</v>
      </c>
      <c r="F50" s="464" t="s">
        <v>8</v>
      </c>
      <c r="G50" s="467">
        <f>ROUND(12*3.5+((56.712)*2),3)</f>
        <v>155.42400000000001</v>
      </c>
      <c r="H50" s="125"/>
    </row>
    <row r="51" spans="2:8" s="495" customFormat="1">
      <c r="B51" s="468" t="s">
        <v>256</v>
      </c>
      <c r="C51" s="463" t="s">
        <v>293</v>
      </c>
      <c r="D51" s="464" t="s">
        <v>274</v>
      </c>
      <c r="E51" s="465" t="s">
        <v>177</v>
      </c>
      <c r="F51" s="464" t="s">
        <v>9</v>
      </c>
      <c r="G51" s="467">
        <f>'SN VERT1'!F7+'SN VERT1'!F11+'SN VERT1'!F15</f>
        <v>6</v>
      </c>
    </row>
    <row r="52" spans="2:8">
      <c r="B52" s="479"/>
      <c r="C52" s="460"/>
      <c r="D52" s="464"/>
      <c r="E52" s="460"/>
      <c r="F52" s="460"/>
      <c r="G52" s="466"/>
    </row>
    <row r="53" spans="2:8" s="495" customFormat="1">
      <c r="B53" s="477" t="s">
        <v>150</v>
      </c>
      <c r="C53" s="455" t="s">
        <v>543</v>
      </c>
      <c r="D53" s="455"/>
      <c r="E53" s="493" t="s">
        <v>7</v>
      </c>
      <c r="F53" s="493"/>
      <c r="G53" s="461"/>
    </row>
    <row r="54" spans="2:8" s="495" customFormat="1">
      <c r="B54" s="468" t="s">
        <v>151</v>
      </c>
      <c r="C54" s="463" t="s">
        <v>513</v>
      </c>
      <c r="D54" s="464" t="s">
        <v>274</v>
      </c>
      <c r="E54" s="496" t="s">
        <v>514</v>
      </c>
      <c r="F54" s="464" t="s">
        <v>6</v>
      </c>
      <c r="G54" s="466">
        <v>10</v>
      </c>
    </row>
    <row r="55" spans="2:8" s="495" customFormat="1">
      <c r="B55" s="468" t="s">
        <v>152</v>
      </c>
      <c r="C55" s="463" t="s">
        <v>515</v>
      </c>
      <c r="D55" s="464" t="s">
        <v>274</v>
      </c>
      <c r="E55" s="465" t="s">
        <v>516</v>
      </c>
      <c r="F55" s="464" t="s">
        <v>6</v>
      </c>
      <c r="G55" s="467">
        <v>10</v>
      </c>
    </row>
    <row r="56" spans="2:8" ht="30">
      <c r="B56" s="468" t="s">
        <v>175</v>
      </c>
      <c r="C56" s="464">
        <v>90082</v>
      </c>
      <c r="D56" s="464" t="s">
        <v>169</v>
      </c>
      <c r="E56" s="497" t="s">
        <v>517</v>
      </c>
      <c r="F56" s="464" t="s">
        <v>4</v>
      </c>
      <c r="G56" s="467">
        <f>'MEMORIAL DE CALCULO'!E24+'MEMORIAL DE CALCULO'!J15</f>
        <v>525.22568000000001</v>
      </c>
    </row>
    <row r="57" spans="2:8" ht="30">
      <c r="B57" s="468" t="s">
        <v>167</v>
      </c>
      <c r="C57" s="464">
        <v>93377</v>
      </c>
      <c r="D57" s="464" t="s">
        <v>169</v>
      </c>
      <c r="E57" s="497" t="s">
        <v>520</v>
      </c>
      <c r="F57" s="464" t="s">
        <v>4</v>
      </c>
      <c r="G57" s="466">
        <f>'MEMORIAL DE CALCULO'!E25+'MEMORIAL DE CALCULO'!E31</f>
        <v>485.38335999999993</v>
      </c>
    </row>
    <row r="58" spans="2:8">
      <c r="B58" s="468" t="s">
        <v>176</v>
      </c>
      <c r="C58" s="464">
        <v>93595</v>
      </c>
      <c r="D58" s="464" t="s">
        <v>169</v>
      </c>
      <c r="E58" s="469" t="s">
        <v>204</v>
      </c>
      <c r="F58" s="460" t="s">
        <v>58</v>
      </c>
      <c r="G58" s="466">
        <f>TRANSP!J40</f>
        <v>2260.2719999999999</v>
      </c>
    </row>
    <row r="59" spans="2:8">
      <c r="B59" s="468" t="s">
        <v>518</v>
      </c>
      <c r="C59" s="498">
        <v>95878</v>
      </c>
      <c r="D59" s="498" t="s">
        <v>169</v>
      </c>
      <c r="E59" s="499" t="s">
        <v>202</v>
      </c>
      <c r="F59" s="500" t="s">
        <v>58</v>
      </c>
      <c r="G59" s="501">
        <f>TRANSP!J46</f>
        <v>5972.7687599999999</v>
      </c>
    </row>
    <row r="60" spans="2:8">
      <c r="B60" s="468" t="s">
        <v>519</v>
      </c>
      <c r="C60" s="502" t="s">
        <v>295</v>
      </c>
      <c r="D60" s="498" t="s">
        <v>274</v>
      </c>
      <c r="E60" s="503" t="s">
        <v>318</v>
      </c>
      <c r="F60" s="498" t="s">
        <v>4</v>
      </c>
      <c r="G60" s="466">
        <f>'MEMORIAL DE CALCULO'!E30</f>
        <v>188.35599999999999</v>
      </c>
    </row>
    <row r="61" spans="2:8">
      <c r="B61" s="468" t="s">
        <v>521</v>
      </c>
      <c r="C61" s="502" t="s">
        <v>294</v>
      </c>
      <c r="D61" s="498" t="s">
        <v>274</v>
      </c>
      <c r="E61" s="503" t="s">
        <v>178</v>
      </c>
      <c r="F61" s="498" t="s">
        <v>4</v>
      </c>
      <c r="G61" s="466">
        <f>G60</f>
        <v>188.35599999999999</v>
      </c>
    </row>
    <row r="62" spans="2:8">
      <c r="B62" s="468"/>
      <c r="C62" s="498"/>
      <c r="D62" s="498"/>
      <c r="E62" s="504"/>
      <c r="F62" s="498"/>
      <c r="G62" s="466"/>
    </row>
    <row r="63" spans="2:8">
      <c r="B63" s="473" t="s">
        <v>522</v>
      </c>
      <c r="C63" s="505" t="s">
        <v>544</v>
      </c>
      <c r="D63" s="505"/>
      <c r="E63" s="506" t="s">
        <v>524</v>
      </c>
      <c r="F63" s="498"/>
      <c r="G63" s="466"/>
    </row>
    <row r="64" spans="2:8">
      <c r="B64" s="468" t="s">
        <v>523</v>
      </c>
      <c r="C64" s="463">
        <v>2003460</v>
      </c>
      <c r="D64" s="464" t="s">
        <v>269</v>
      </c>
      <c r="E64" s="507" t="s">
        <v>640</v>
      </c>
      <c r="F64" s="464" t="s">
        <v>9</v>
      </c>
      <c r="G64" s="467">
        <f>'MEMORIAL DE CALCULO'!D19</f>
        <v>1</v>
      </c>
    </row>
    <row r="65" spans="2:7">
      <c r="B65" s="468" t="s">
        <v>676</v>
      </c>
      <c r="C65" s="508">
        <v>804053</v>
      </c>
      <c r="D65" s="498" t="s">
        <v>269</v>
      </c>
      <c r="E65" s="507" t="s">
        <v>641</v>
      </c>
      <c r="F65" s="464" t="s">
        <v>8</v>
      </c>
      <c r="G65" s="467">
        <f>'MEMORIAL DE CALCULO'!E21</f>
        <v>14</v>
      </c>
    </row>
    <row r="66" spans="2:7">
      <c r="B66" s="468" t="s">
        <v>677</v>
      </c>
      <c r="C66" s="509">
        <v>804409</v>
      </c>
      <c r="D66" s="498" t="s">
        <v>269</v>
      </c>
      <c r="E66" s="510" t="s">
        <v>642</v>
      </c>
      <c r="F66" s="498" t="s">
        <v>9</v>
      </c>
      <c r="G66" s="467">
        <f>'MEMORIAL DE CALCULO'!D20</f>
        <v>2</v>
      </c>
    </row>
    <row r="67" spans="2:7">
      <c r="B67" s="468" t="s">
        <v>678</v>
      </c>
      <c r="C67" s="509">
        <v>705199</v>
      </c>
      <c r="D67" s="498" t="s">
        <v>269</v>
      </c>
      <c r="E67" s="510" t="s">
        <v>663</v>
      </c>
      <c r="F67" s="464" t="s">
        <v>8</v>
      </c>
      <c r="G67" s="558">
        <f>'MEMORIAL DE CALCULO'!E23</f>
        <v>14</v>
      </c>
    </row>
    <row r="68" spans="2:7">
      <c r="B68" s="468" t="s">
        <v>679</v>
      </c>
      <c r="C68" s="509">
        <v>705241</v>
      </c>
      <c r="D68" s="498" t="s">
        <v>269</v>
      </c>
      <c r="E68" s="510" t="s">
        <v>664</v>
      </c>
      <c r="F68" s="498" t="s">
        <v>9</v>
      </c>
      <c r="G68" s="558">
        <f>'MEMORIAL DE CALCULO'!D22</f>
        <v>2</v>
      </c>
    </row>
    <row r="69" spans="2:7">
      <c r="B69" s="468" t="s">
        <v>680</v>
      </c>
      <c r="C69" s="463">
        <v>2003387</v>
      </c>
      <c r="D69" s="498" t="s">
        <v>269</v>
      </c>
      <c r="E69" s="507" t="s">
        <v>673</v>
      </c>
      <c r="F69" s="464" t="s">
        <v>9</v>
      </c>
      <c r="G69" s="467">
        <f>'MEMORIAL DE CALCULO'!D28</f>
        <v>3</v>
      </c>
    </row>
    <row r="70" spans="2:7" ht="15.75" thickBot="1">
      <c r="B70" s="468" t="s">
        <v>681</v>
      </c>
      <c r="C70" s="511">
        <v>2003391</v>
      </c>
      <c r="D70" s="633" t="s">
        <v>269</v>
      </c>
      <c r="E70" s="512" t="s">
        <v>674</v>
      </c>
      <c r="F70" s="511" t="s">
        <v>8</v>
      </c>
      <c r="G70" s="513">
        <f>'MEMORIAL DE CALCULO'!D29</f>
        <v>9</v>
      </c>
    </row>
    <row r="73" spans="2:7">
      <c r="G73" s="483">
        <f>SUM(G9:G72)</f>
        <v>90183.937772000034</v>
      </c>
    </row>
  </sheetData>
  <customSheetViews>
    <customSheetView guid="{E8D46A29-8D28-49CA-936A-9705D639E1C7}" topLeftCell="A34">
      <selection activeCell="E51" sqref="E51"/>
      <pageMargins left="0.51181102362204722" right="0.51181102362204722" top="0.78740157480314965" bottom="0.78740157480314965" header="0.31496062992125984" footer="0.31496062992125984"/>
      <printOptions horizontalCentered="1"/>
      <pageSetup scale="80" orientation="portrait" horizontalDpi="4294967294" r:id="rId1"/>
    </customSheetView>
  </customSheetViews>
  <mergeCells count="8">
    <mergeCell ref="B6:G6"/>
    <mergeCell ref="G2:G3"/>
    <mergeCell ref="B2:F2"/>
    <mergeCell ref="B3:C3"/>
    <mergeCell ref="D3:F3"/>
    <mergeCell ref="D4:F5"/>
    <mergeCell ref="B4:C5"/>
    <mergeCell ref="G4:G5"/>
  </mergeCells>
  <phoneticPr fontId="97" type="noConversion"/>
  <printOptions horizontalCentered="1"/>
  <pageMargins left="0.31496062992125984" right="0.31496062992125984" top="0.55118110236220474" bottom="0.39370078740157483" header="0.31496062992125984" footer="0.31496062992125984"/>
  <pageSetup paperSize="9" scale="85" fitToWidth="2" orientation="portrait" horizontalDpi="4294967294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4">
    <pageSetUpPr fitToPage="1"/>
  </sheetPr>
  <dimension ref="A1:HW78"/>
  <sheetViews>
    <sheetView tabSelected="1" zoomScale="85" zoomScaleNormal="85" workbookViewId="0">
      <pane ySplit="8" topLeftCell="A37" activePane="bottomLeft" state="frozen"/>
      <selection pane="bottomLeft" activeCell="M47" sqref="M47"/>
    </sheetView>
  </sheetViews>
  <sheetFormatPr defaultColWidth="9.140625" defaultRowHeight="15" customHeight="1"/>
  <cols>
    <col min="1" max="1" width="9" style="119" customWidth="1"/>
    <col min="2" max="2" width="11.28515625" style="119" customWidth="1"/>
    <col min="3" max="3" width="12.7109375" style="119" customWidth="1"/>
    <col min="4" max="4" width="84.42578125" style="86" customWidth="1"/>
    <col min="5" max="5" width="7.140625" style="119" customWidth="1"/>
    <col min="6" max="6" width="15.28515625" style="120" customWidth="1"/>
    <col min="7" max="7" width="12.42578125" style="540" customWidth="1"/>
    <col min="8" max="8" width="17.140625" style="121" customWidth="1"/>
    <col min="9" max="9" width="14.28515625" style="121" customWidth="1"/>
    <col min="10" max="10" width="21.7109375" style="121" customWidth="1"/>
    <col min="11" max="11" width="10.140625" style="86" bestFit="1" customWidth="1"/>
    <col min="12" max="12" width="10" style="86" bestFit="1" customWidth="1"/>
    <col min="13" max="13" width="11" style="86" bestFit="1" customWidth="1"/>
    <col min="14" max="16384" width="9.140625" style="86"/>
  </cols>
  <sheetData>
    <row r="1" spans="1:231" s="186" customFormat="1" ht="30.75" customHeight="1">
      <c r="A1" s="698" t="str">
        <f>QUANT!B2</f>
        <v>PREFEITURA MUNICIPAL DE VÁRZEA GRANDE</v>
      </c>
      <c r="B1" s="699"/>
      <c r="C1" s="700"/>
      <c r="D1" s="711" t="s">
        <v>263</v>
      </c>
      <c r="E1" s="712"/>
      <c r="F1" s="712"/>
      <c r="G1" s="712"/>
      <c r="H1" s="712"/>
      <c r="I1" s="713"/>
      <c r="J1" s="261" t="s">
        <v>76</v>
      </c>
      <c r="HW1" s="186" t="s">
        <v>11</v>
      </c>
    </row>
    <row r="2" spans="1:231" ht="15" customHeight="1">
      <c r="A2" s="701"/>
      <c r="B2" s="702"/>
      <c r="C2" s="703"/>
      <c r="D2" s="684" t="str">
        <f>RESUMO!C43</f>
        <v>Rua Belga, Rua Março e Rua Julho</v>
      </c>
      <c r="E2" s="685"/>
      <c r="F2" s="685"/>
      <c r="G2" s="685"/>
      <c r="H2" s="685"/>
      <c r="I2" s="686"/>
      <c r="J2" s="199" t="str">
        <f>RESUMO!D5</f>
        <v>DEZEMBRO/2022 SINAPI</v>
      </c>
    </row>
    <row r="3" spans="1:231" ht="30" customHeight="1">
      <c r="A3" s="701"/>
      <c r="B3" s="702"/>
      <c r="C3" s="703"/>
      <c r="D3" s="687"/>
      <c r="E3" s="673"/>
      <c r="F3" s="673"/>
      <c r="G3" s="673"/>
      <c r="H3" s="673"/>
      <c r="I3" s="688"/>
      <c r="J3" s="692" t="str">
        <f>RESUMO!D6</f>
        <v>JULHO/2022 SICRO</v>
      </c>
    </row>
    <row r="4" spans="1:231" ht="24.95" customHeight="1">
      <c r="A4" s="701"/>
      <c r="B4" s="702"/>
      <c r="C4" s="703"/>
      <c r="D4" s="695" t="str">
        <f>QUANT!B6</f>
        <v>OBRA: PAVIMENTAÇÃO DE VIAS URBANAS</v>
      </c>
      <c r="E4" s="696"/>
      <c r="F4" s="696"/>
      <c r="G4" s="696"/>
      <c r="H4" s="696"/>
      <c r="I4" s="697"/>
      <c r="J4" s="692"/>
    </row>
    <row r="5" spans="1:231" ht="24.75" customHeight="1">
      <c r="A5" s="704"/>
      <c r="B5" s="705"/>
      <c r="C5" s="706"/>
      <c r="D5" s="695" t="s">
        <v>655</v>
      </c>
      <c r="E5" s="696"/>
      <c r="F5" s="696"/>
      <c r="G5" s="696"/>
      <c r="H5" s="696"/>
      <c r="I5" s="697"/>
      <c r="J5" s="693"/>
    </row>
    <row r="6" spans="1:231" ht="24.95" customHeight="1">
      <c r="A6" s="707" t="s">
        <v>98</v>
      </c>
      <c r="B6" s="708"/>
      <c r="C6" s="708"/>
      <c r="D6" s="197">
        <f>BDI!E26</f>
        <v>0.20699999999999999</v>
      </c>
      <c r="E6" s="714" t="s">
        <v>271</v>
      </c>
      <c r="F6" s="715"/>
      <c r="G6" s="718">
        <f>'TERRAP E PAVIM'!I18</f>
        <v>3535</v>
      </c>
      <c r="H6" s="720" t="s">
        <v>270</v>
      </c>
      <c r="I6" s="722">
        <f>'TERRAP E PAVIM'!I16</f>
        <v>505</v>
      </c>
      <c r="J6" s="724" t="s">
        <v>224</v>
      </c>
    </row>
    <row r="7" spans="1:231" ht="24.95" customHeight="1">
      <c r="A7" s="709" t="s">
        <v>173</v>
      </c>
      <c r="B7" s="710"/>
      <c r="C7" s="710"/>
      <c r="D7" s="198">
        <f>'BDI DIFERENCIADO'!E26</f>
        <v>0.1527</v>
      </c>
      <c r="E7" s="716"/>
      <c r="F7" s="717"/>
      <c r="G7" s="719"/>
      <c r="H7" s="721"/>
      <c r="I7" s="723"/>
      <c r="J7" s="725"/>
    </row>
    <row r="8" spans="1:231" ht="24.95" customHeight="1">
      <c r="A8" s="188" t="str">
        <f>QUANT!B7</f>
        <v>ITEM</v>
      </c>
      <c r="B8" s="188" t="str">
        <f>QUANT!C7</f>
        <v>CÓDIGO</v>
      </c>
      <c r="C8" s="188" t="str">
        <f>QUANT!D7</f>
        <v>BANCO</v>
      </c>
      <c r="D8" s="187" t="str">
        <f>QUANT!E7</f>
        <v>DISCRIMINAÇÃO</v>
      </c>
      <c r="E8" s="188" t="s">
        <v>12</v>
      </c>
      <c r="F8" s="189" t="s">
        <v>13</v>
      </c>
      <c r="G8" s="538" t="s">
        <v>14</v>
      </c>
      <c r="H8" s="190" t="s">
        <v>206</v>
      </c>
      <c r="I8" s="188" t="s">
        <v>15</v>
      </c>
      <c r="J8" s="188" t="s">
        <v>16</v>
      </c>
    </row>
    <row r="9" spans="1:231" ht="30" customHeight="1">
      <c r="A9" s="188" t="str">
        <f>QUANT!B8</f>
        <v>1.0</v>
      </c>
      <c r="B9" s="188"/>
      <c r="C9" s="188"/>
      <c r="D9" s="187" t="str">
        <f>QUANT!E8</f>
        <v>SERVIÇOS PRELIMINARES</v>
      </c>
      <c r="E9" s="201"/>
      <c r="F9" s="172"/>
      <c r="G9" s="539"/>
      <c r="H9" s="132"/>
      <c r="I9" s="132"/>
      <c r="J9" s="191"/>
    </row>
    <row r="10" spans="1:231" ht="30" customHeight="1">
      <c r="A10" s="201" t="str">
        <f>QUANT!B9</f>
        <v>1.1</v>
      </c>
      <c r="B10" s="201" t="str">
        <f>QUANT!C9</f>
        <v>Comp. 1.1</v>
      </c>
      <c r="C10" s="201" t="str">
        <f>QUANT!D9</f>
        <v>Composição</v>
      </c>
      <c r="D10" s="162" t="str">
        <f>QUANT!E9</f>
        <v>Placa de obra em chapa de aço galvanizado</v>
      </c>
      <c r="E10" s="201" t="str">
        <f>QUANT!F9</f>
        <v>m²</v>
      </c>
      <c r="F10" s="172">
        <f>QUANT!G9</f>
        <v>12</v>
      </c>
      <c r="G10" s="539">
        <f>'COMP.'!S15</f>
        <v>423.34829999999999</v>
      </c>
      <c r="H10" s="132">
        <f>TRUNC((G10*(1+($D$6))),2)</f>
        <v>510.98</v>
      </c>
      <c r="I10" s="132">
        <f>TRUNC(F10*H10,2)</f>
        <v>6131.76</v>
      </c>
      <c r="J10" s="192"/>
    </row>
    <row r="11" spans="1:231" ht="30" customHeight="1">
      <c r="A11" s="201" t="str">
        <f>QUANT!B10</f>
        <v>1.2</v>
      </c>
      <c r="B11" s="201">
        <f>QUANT!C10</f>
        <v>93584</v>
      </c>
      <c r="C11" s="201" t="str">
        <f>QUANT!D10</f>
        <v>SINAPI</v>
      </c>
      <c r="D11" s="162" t="str">
        <f>QUANT!E10</f>
        <v>Execução de depósito em canteiro de obra</v>
      </c>
      <c r="E11" s="201" t="str">
        <f>QUANT!F10</f>
        <v>m²</v>
      </c>
      <c r="F11" s="172">
        <f>QUANT!G10</f>
        <v>25</v>
      </c>
      <c r="G11" s="539">
        <v>938.83</v>
      </c>
      <c r="H11" s="132">
        <f>TRUNC((G11*(1+($D$6))),2)</f>
        <v>1133.1600000000001</v>
      </c>
      <c r="I11" s="132">
        <f>TRUNC(F11*H11,2)</f>
        <v>28329</v>
      </c>
      <c r="J11" s="192"/>
    </row>
    <row r="12" spans="1:231" ht="38.25">
      <c r="A12" s="201" t="str">
        <f>QUANT!B11</f>
        <v>1.3</v>
      </c>
      <c r="B12" s="201" t="str">
        <f>QUANT!C11</f>
        <v>Comp. 1.3</v>
      </c>
      <c r="C12" s="201" t="str">
        <f>QUANT!D11</f>
        <v>Composição</v>
      </c>
      <c r="D12" s="159" t="str">
        <f>QUANT!E11</f>
        <v>Aluguel container/sanit c/2 vasos/1 lavat/1 mic/4 chuv larg2,20m compr=6,20m alt=2,50m chapa aco c/nerv trapez forro c/isolam termo/acustico chassis reforc piso compens naval inclinst eletr/hidr excl transp/carga/descarga</v>
      </c>
      <c r="E12" s="201" t="str">
        <f>QUANT!F11</f>
        <v>mês</v>
      </c>
      <c r="F12" s="172">
        <f>QUANT!G11</f>
        <v>4</v>
      </c>
      <c r="G12" s="539">
        <f>'COMP.'!S29</f>
        <v>648.42999999999995</v>
      </c>
      <c r="H12" s="132">
        <f>TRUNC((G12*(1+($D$6))),2)</f>
        <v>782.65</v>
      </c>
      <c r="I12" s="132">
        <f>TRUNC(F12*H12,2)</f>
        <v>3130.6</v>
      </c>
      <c r="J12" s="131">
        <f>SUM(I10:I12)</f>
        <v>37591.360000000001</v>
      </c>
    </row>
    <row r="13" spans="1:231" ht="30" customHeight="1">
      <c r="A13" s="201"/>
      <c r="B13" s="201"/>
      <c r="C13" s="201"/>
      <c r="D13" s="162"/>
      <c r="E13" s="201"/>
      <c r="F13" s="172"/>
      <c r="G13" s="539"/>
      <c r="H13" s="132"/>
      <c r="I13" s="132"/>
      <c r="J13" s="131"/>
    </row>
    <row r="14" spans="1:231" ht="30" customHeight="1">
      <c r="A14" s="188" t="str">
        <f>QUANT!B13</f>
        <v>2.0</v>
      </c>
      <c r="B14" s="188"/>
      <c r="C14" s="188"/>
      <c r="D14" s="187" t="str">
        <f>QUANT!E13</f>
        <v>ADMINISTRAÇÃO LOCAL</v>
      </c>
      <c r="E14" s="201"/>
      <c r="F14" s="172"/>
      <c r="G14" s="539"/>
      <c r="H14" s="132"/>
      <c r="I14" s="132"/>
      <c r="J14" s="131"/>
      <c r="K14" s="194"/>
      <c r="L14" s="194"/>
      <c r="M14" s="194"/>
    </row>
    <row r="15" spans="1:231" ht="30" customHeight="1">
      <c r="A15" s="201" t="str">
        <f>QUANT!B14</f>
        <v>2.1</v>
      </c>
      <c r="B15" s="201" t="str">
        <f>QUANT!C14</f>
        <v>Comp. 2.1</v>
      </c>
      <c r="C15" s="201" t="str">
        <f>QUANT!D14</f>
        <v>Composição</v>
      </c>
      <c r="D15" s="162" t="str">
        <f>QUANT!E14</f>
        <v>Administração Local</v>
      </c>
      <c r="E15" s="201" t="str">
        <f>QUANT!F14</f>
        <v>unid</v>
      </c>
      <c r="F15" s="172">
        <f>QUANT!G14</f>
        <v>1</v>
      </c>
      <c r="G15" s="539">
        <f>'COMP.'!S50</f>
        <v>41599.089999999997</v>
      </c>
      <c r="H15" s="132">
        <f>TRUNC((G15*(1+($D$6))),2)</f>
        <v>50210.1</v>
      </c>
      <c r="I15" s="132">
        <f t="shared" ref="I15:I52" si="0">TRUNC(F15*H15,2)</f>
        <v>50210.1</v>
      </c>
      <c r="J15" s="131">
        <f>I15</f>
        <v>50210.1</v>
      </c>
      <c r="K15" s="314"/>
      <c r="L15" s="615">
        <f>J15/J70</f>
        <v>6.9360181025153317E-2</v>
      </c>
      <c r="M15" s="193"/>
    </row>
    <row r="16" spans="1:231" ht="30" customHeight="1">
      <c r="A16" s="201"/>
      <c r="B16" s="201"/>
      <c r="C16" s="201"/>
      <c r="D16" s="162"/>
      <c r="E16" s="201"/>
      <c r="F16" s="172"/>
      <c r="G16" s="539"/>
      <c r="H16" s="132"/>
      <c r="I16" s="132"/>
      <c r="J16" s="131"/>
    </row>
    <row r="17" spans="1:10" ht="30" customHeight="1">
      <c r="A17" s="188" t="str">
        <f>QUANT!B16</f>
        <v>3.0</v>
      </c>
      <c r="B17" s="188"/>
      <c r="C17" s="188"/>
      <c r="D17" s="187" t="str">
        <f>QUANT!E16</f>
        <v>ENSAIOS TECNOLÓGICOS DE SOLO E ASFALTO</v>
      </c>
      <c r="E17" s="201"/>
      <c r="F17" s="172"/>
      <c r="G17" s="539"/>
      <c r="H17" s="132"/>
      <c r="I17" s="132"/>
      <c r="J17" s="131"/>
    </row>
    <row r="18" spans="1:10" ht="30" customHeight="1">
      <c r="A18" s="201" t="str">
        <f>QUANT!B17</f>
        <v>3.1</v>
      </c>
      <c r="B18" s="201" t="str">
        <f>QUANT!C17</f>
        <v>Comp. 3.1</v>
      </c>
      <c r="C18" s="201" t="str">
        <f>QUANT!D17</f>
        <v>Composição</v>
      </c>
      <c r="D18" s="162" t="str">
        <f>QUANT!E17</f>
        <v>Ensaio de regularição de sub-leito</v>
      </c>
      <c r="E18" s="201" t="str">
        <f>QUANT!F17</f>
        <v>m²</v>
      </c>
      <c r="F18" s="172">
        <f>QUANT!G17</f>
        <v>3442.5</v>
      </c>
      <c r="G18" s="539">
        <f>'COMP.'!S70</f>
        <v>1.348293</v>
      </c>
      <c r="H18" s="132">
        <f>TRUNC((G18*(1+($D$6))),2)</f>
        <v>1.62</v>
      </c>
      <c r="I18" s="132">
        <f t="shared" si="0"/>
        <v>5576.85</v>
      </c>
      <c r="J18" s="131"/>
    </row>
    <row r="19" spans="1:10" ht="30" customHeight="1">
      <c r="A19" s="201" t="s">
        <v>40</v>
      </c>
      <c r="B19" s="201" t="str">
        <f>QUANT!C18</f>
        <v>Comp. 3.3</v>
      </c>
      <c r="C19" s="201" t="str">
        <f>QUANT!D18</f>
        <v>Composição</v>
      </c>
      <c r="D19" s="162" t="str">
        <f>QUANT!E18</f>
        <v>Ensaio de base estabilizada granulometricamente</v>
      </c>
      <c r="E19" s="201" t="str">
        <f>QUANT!F18</f>
        <v>m³</v>
      </c>
      <c r="F19" s="172">
        <f>QUANT!G18</f>
        <v>688.5</v>
      </c>
      <c r="G19" s="539">
        <f>'COMP.'!S112</f>
        <v>2.5909900000000001</v>
      </c>
      <c r="H19" s="132">
        <f>TRUNC((G19*(1+($D$6))),2)</f>
        <v>3.12</v>
      </c>
      <c r="I19" s="132">
        <f t="shared" si="0"/>
        <v>2148.12</v>
      </c>
      <c r="J19" s="131"/>
    </row>
    <row r="20" spans="1:10" ht="30" customHeight="1">
      <c r="A20" s="201" t="s">
        <v>56</v>
      </c>
      <c r="B20" s="201" t="str">
        <f>QUANT!C19</f>
        <v>Comp. 3.4</v>
      </c>
      <c r="C20" s="201" t="str">
        <f>QUANT!D19</f>
        <v>Composição</v>
      </c>
      <c r="D20" s="171" t="str">
        <f>QUANT!E19</f>
        <v>Ensaio de resistência a compressão simples do concreto - meio-fio, sarjetas e calçadas 
(considerado 1,0 amostra a cada 200 m)</v>
      </c>
      <c r="E20" s="201" t="str">
        <f>QUANT!F19</f>
        <v>un</v>
      </c>
      <c r="F20" s="172">
        <f>QUANT!G19</f>
        <v>4.9450000000000003</v>
      </c>
      <c r="G20" s="539">
        <f>'COMP.'!S127</f>
        <v>142.614</v>
      </c>
      <c r="H20" s="132">
        <f>TRUNC((G20*(1+($D$6))),2)</f>
        <v>172.13</v>
      </c>
      <c r="I20" s="132">
        <f t="shared" si="0"/>
        <v>851.18</v>
      </c>
      <c r="J20" s="131">
        <f>SUM(I18:I20)</f>
        <v>8576.15</v>
      </c>
    </row>
    <row r="21" spans="1:10" ht="30" customHeight="1">
      <c r="A21" s="201"/>
      <c r="B21" s="201"/>
      <c r="C21" s="201"/>
      <c r="D21" s="162"/>
      <c r="E21" s="201"/>
      <c r="F21" s="172"/>
      <c r="G21" s="539"/>
      <c r="H21" s="132"/>
      <c r="I21" s="132"/>
      <c r="J21" s="132"/>
    </row>
    <row r="22" spans="1:10" ht="30" customHeight="1">
      <c r="A22" s="188" t="str">
        <f>QUANT!B21</f>
        <v>4.0</v>
      </c>
      <c r="B22" s="188"/>
      <c r="C22" s="188"/>
      <c r="D22" s="187" t="str">
        <f>QUANT!E21</f>
        <v>TERRAPLENAGEM</v>
      </c>
      <c r="E22" s="201"/>
      <c r="F22" s="172"/>
      <c r="G22" s="539"/>
      <c r="H22" s="132"/>
      <c r="I22" s="132"/>
      <c r="J22" s="132"/>
    </row>
    <row r="23" spans="1:10" ht="30" customHeight="1">
      <c r="A23" s="201" t="str">
        <f>QUANT!B22</f>
        <v>4.1</v>
      </c>
      <c r="B23" s="201" t="str">
        <f>QUANT!C22</f>
        <v>Comp. 4.1</v>
      </c>
      <c r="C23" s="201" t="str">
        <f>QUANT!D22</f>
        <v>Composição</v>
      </c>
      <c r="D23" s="171" t="str">
        <f>QUANT!E22</f>
        <v>Limpeza mecanizada de área com remoção de camada vegetal, utilizando motoniveladora</v>
      </c>
      <c r="E23" s="201" t="str">
        <f>QUANT!F22</f>
        <v>m²</v>
      </c>
      <c r="F23" s="172">
        <f>QUANT!G22</f>
        <v>1715</v>
      </c>
      <c r="G23" s="539">
        <f>'COMP.'!S143</f>
        <v>0.78510000000000002</v>
      </c>
      <c r="H23" s="132">
        <f t="shared" ref="H23:H29" si="1">TRUNC((G23*(1+($D$6))),2)</f>
        <v>0.94</v>
      </c>
      <c r="I23" s="132">
        <f t="shared" si="0"/>
        <v>1612.1</v>
      </c>
      <c r="J23" s="132"/>
    </row>
    <row r="24" spans="1:10" ht="30" customHeight="1">
      <c r="A24" s="201" t="str">
        <f>QUANT!B23</f>
        <v>4.2</v>
      </c>
      <c r="B24" s="201" t="str">
        <f>QUANT!C23</f>
        <v>Comp. 4.2</v>
      </c>
      <c r="C24" s="201" t="str">
        <f>QUANT!D23</f>
        <v>Composição</v>
      </c>
      <c r="D24" s="171" t="str">
        <f>QUANT!E23</f>
        <v>Escavacao mecanica de material 1a. categoria, proveniente de corte de subleito (c/trator esteiras 160hp)</v>
      </c>
      <c r="E24" s="201" t="str">
        <f>QUANT!F23</f>
        <v>m³</v>
      </c>
      <c r="F24" s="172">
        <f>QUANT!G23</f>
        <v>588.16400000000033</v>
      </c>
      <c r="G24" s="539">
        <f>'COMP.'!S159</f>
        <v>2.2098977999999998</v>
      </c>
      <c r="H24" s="132">
        <f t="shared" si="1"/>
        <v>2.66</v>
      </c>
      <c r="I24" s="132">
        <f t="shared" si="0"/>
        <v>1564.51</v>
      </c>
      <c r="J24" s="132"/>
    </row>
    <row r="25" spans="1:10" ht="30" customHeight="1">
      <c r="A25" s="201" t="str">
        <f>QUANT!B24</f>
        <v>4.3</v>
      </c>
      <c r="B25" s="201">
        <f>QUANT!C24</f>
        <v>5502137</v>
      </c>
      <c r="C25" s="201" t="str">
        <f>QUANT!D24</f>
        <v>SICRO</v>
      </c>
      <c r="D25" s="171" t="str">
        <f>QUANT!E24</f>
        <v>Escavação, carga e transporte de material de 1ª categoria - DMT de 400 a 600 m - caminho de serviço em revestimento primário - com escavadeira e caminhão basculante de 14 m³</v>
      </c>
      <c r="E25" s="201" t="str">
        <f>QUANT!F24</f>
        <v>m³</v>
      </c>
      <c r="F25" s="172">
        <f>QUANT!G24</f>
        <v>790.32599999999991</v>
      </c>
      <c r="G25" s="539">
        <v>6.66</v>
      </c>
      <c r="H25" s="132">
        <f t="shared" si="1"/>
        <v>8.0299999999999994</v>
      </c>
      <c r="I25" s="132">
        <f t="shared" si="0"/>
        <v>6346.31</v>
      </c>
      <c r="J25" s="132"/>
    </row>
    <row r="26" spans="1:10" ht="30" customHeight="1">
      <c r="A26" s="201" t="str">
        <f>QUANT!B25</f>
        <v>4.4</v>
      </c>
      <c r="B26" s="201">
        <f>QUANT!C25</f>
        <v>5503041</v>
      </c>
      <c r="C26" s="201" t="str">
        <f>QUANT!D25</f>
        <v>SICRO</v>
      </c>
      <c r="D26" s="171" t="str">
        <f>QUANT!E25</f>
        <v>Compactação de aterros a 100% do Proctor intermediário</v>
      </c>
      <c r="E26" s="201" t="str">
        <f>QUANT!F25</f>
        <v>m³</v>
      </c>
      <c r="F26" s="172">
        <f>QUANT!G25</f>
        <v>687.24</v>
      </c>
      <c r="G26" s="539">
        <v>7.99</v>
      </c>
      <c r="H26" s="132">
        <f t="shared" si="1"/>
        <v>9.64</v>
      </c>
      <c r="I26" s="132">
        <f t="shared" si="0"/>
        <v>6624.99</v>
      </c>
      <c r="J26" s="132"/>
    </row>
    <row r="27" spans="1:10" ht="30" customHeight="1">
      <c r="A27" s="201" t="str">
        <f>QUANT!B26</f>
        <v>4.5</v>
      </c>
      <c r="B27" s="201">
        <f>QUANT!C26</f>
        <v>93595</v>
      </c>
      <c r="C27" s="201" t="str">
        <f>QUANT!D26</f>
        <v>SINAPI</v>
      </c>
      <c r="D27" s="171" t="str">
        <f>QUANT!E26</f>
        <v>Transporte com caminhão basculante de 10 m3, em via urbana em revestimento primário (unidade: txkm). af_04/2016</v>
      </c>
      <c r="E27" s="201" t="str">
        <f>QUANT!F26</f>
        <v>txkm</v>
      </c>
      <c r="F27" s="172">
        <f>QUANT!G26</f>
        <v>3852.7094656000022</v>
      </c>
      <c r="G27" s="539">
        <v>1.65</v>
      </c>
      <c r="H27" s="132">
        <f t="shared" si="1"/>
        <v>1.99</v>
      </c>
      <c r="I27" s="132">
        <f t="shared" si="0"/>
        <v>7666.89</v>
      </c>
      <c r="J27" s="132"/>
    </row>
    <row r="28" spans="1:10" ht="30" customHeight="1">
      <c r="A28" s="201" t="str">
        <f>QUANT!B27</f>
        <v>4.6</v>
      </c>
      <c r="B28" s="201">
        <f>QUANT!C27</f>
        <v>95878</v>
      </c>
      <c r="C28" s="201" t="str">
        <f>QUANT!D27</f>
        <v>SINAPI</v>
      </c>
      <c r="D28" s="171" t="str">
        <f>QUANT!E27</f>
        <v>Transporte com caminhão basculante de 10 m3, em via urbana pavimentada, dmt até 30 km (unidade: txkm). af_12/2016</v>
      </c>
      <c r="E28" s="201" t="str">
        <f>QUANT!F27</f>
        <v>txkm</v>
      </c>
      <c r="F28" s="172">
        <f>QUANT!G27</f>
        <v>22878.168006400014</v>
      </c>
      <c r="G28" s="539">
        <v>1.52</v>
      </c>
      <c r="H28" s="132">
        <f t="shared" si="1"/>
        <v>1.83</v>
      </c>
      <c r="I28" s="132">
        <f t="shared" si="0"/>
        <v>41867.040000000001</v>
      </c>
      <c r="J28" s="132"/>
    </row>
    <row r="29" spans="1:10" ht="30" customHeight="1">
      <c r="A29" s="201" t="str">
        <f>QUANT!B28</f>
        <v>4.7</v>
      </c>
      <c r="B29" s="201" t="str">
        <f>QUANT!C28</f>
        <v>Comp. 4.7</v>
      </c>
      <c r="C29" s="201" t="str">
        <f>QUANT!D28</f>
        <v>Composição</v>
      </c>
      <c r="D29" s="171" t="str">
        <f>QUANT!E28</f>
        <v>Espalhamento de material em bota fora, com utilização de trator de esteiras de 165 hp</v>
      </c>
      <c r="E29" s="201" t="str">
        <f>QUANT!F28</f>
        <v>m³</v>
      </c>
      <c r="F29" s="172">
        <f>QUANT!G28</f>
        <v>1378.4900000000002</v>
      </c>
      <c r="G29" s="539">
        <f>'COMP.'!S175</f>
        <v>1.2728711189999999</v>
      </c>
      <c r="H29" s="132">
        <f t="shared" si="1"/>
        <v>1.53</v>
      </c>
      <c r="I29" s="132">
        <f t="shared" si="0"/>
        <v>2109.08</v>
      </c>
      <c r="J29" s="131">
        <f>SUM(I23:I29)</f>
        <v>67790.92</v>
      </c>
    </row>
    <row r="30" spans="1:10" ht="30" customHeight="1">
      <c r="A30" s="201"/>
      <c r="B30" s="201"/>
      <c r="C30" s="201"/>
      <c r="D30" s="162"/>
      <c r="E30" s="201"/>
      <c r="F30" s="172"/>
      <c r="G30" s="539"/>
      <c r="H30" s="132"/>
      <c r="I30" s="132"/>
      <c r="J30" s="131"/>
    </row>
    <row r="31" spans="1:10" ht="30" customHeight="1">
      <c r="A31" s="188" t="str">
        <f>QUANT!B30</f>
        <v>5.0</v>
      </c>
      <c r="B31" s="188"/>
      <c r="C31" s="188"/>
      <c r="D31" s="187" t="str">
        <f>QUANT!E30</f>
        <v>PAVIMENTAÇÃO</v>
      </c>
      <c r="E31" s="201"/>
      <c r="F31" s="172"/>
      <c r="G31" s="539"/>
      <c r="H31" s="132"/>
      <c r="I31" s="132"/>
      <c r="J31" s="131"/>
    </row>
    <row r="32" spans="1:10" ht="30" customHeight="1">
      <c r="A32" s="201" t="str">
        <f>QUANT!B31</f>
        <v>5.1</v>
      </c>
      <c r="B32" s="201" t="str">
        <f>QUANT!C31</f>
        <v>Comp. 5.1</v>
      </c>
      <c r="C32" s="201" t="str">
        <f>QUANT!D31</f>
        <v>Composição</v>
      </c>
      <c r="D32" s="162" t="str">
        <f>QUANT!E31</f>
        <v>Regularização e compactação de subleito até 20 cm de espessura</v>
      </c>
      <c r="E32" s="201" t="str">
        <f>QUANT!F31</f>
        <v>m²</v>
      </c>
      <c r="F32" s="172">
        <f>QUANT!G31</f>
        <v>3442.5</v>
      </c>
      <c r="G32" s="539">
        <f>'COMP.'!S197</f>
        <v>1.50701163</v>
      </c>
      <c r="H32" s="132">
        <f>TRUNC((G32*(1+($D$6))),2)</f>
        <v>1.81</v>
      </c>
      <c r="I32" s="132">
        <f t="shared" si="0"/>
        <v>6230.92</v>
      </c>
      <c r="J32" s="131"/>
    </row>
    <row r="33" spans="1:14" ht="30" customHeight="1">
      <c r="A33" s="201" t="str">
        <f>QUANT!B32</f>
        <v>5.2</v>
      </c>
      <c r="B33" s="201" t="str">
        <f>QUANT!C32</f>
        <v>M980</v>
      </c>
      <c r="C33" s="201" t="str">
        <f>QUANT!D32</f>
        <v>COTAÇÃO</v>
      </c>
      <c r="D33" s="171" t="str">
        <f>QUANT!E32</f>
        <v>Indenização de jazida não condiz com o preço praticado na região (Preço praticado na jazida)</v>
      </c>
      <c r="E33" s="201" t="str">
        <f>QUANT!F32</f>
        <v>m³</v>
      </c>
      <c r="F33" s="172">
        <f>QUANT!G32</f>
        <v>791.77499999999998</v>
      </c>
      <c r="G33" s="539">
        <v>15</v>
      </c>
      <c r="H33" s="132">
        <f>TRUNC((G33*(1+($D$7))),2)</f>
        <v>17.29</v>
      </c>
      <c r="I33" s="132">
        <f t="shared" si="0"/>
        <v>13689.78</v>
      </c>
      <c r="J33" s="131"/>
    </row>
    <row r="34" spans="1:14" ht="30" customHeight="1">
      <c r="A34" s="201" t="str">
        <f>QUANT!B33</f>
        <v>5.4</v>
      </c>
      <c r="B34" s="201" t="str">
        <f>QUANT!C33</f>
        <v>Comp. 5.4</v>
      </c>
      <c r="C34" s="201" t="str">
        <f>QUANT!D33</f>
        <v>Composição</v>
      </c>
      <c r="D34" s="171" t="str">
        <f>QUANT!E33</f>
        <v>Execução e compactação de base com solo estabilizado granulometricamente - exclusive escavação, carga e transporte e solo. af_09/2017</v>
      </c>
      <c r="E34" s="201" t="str">
        <f>QUANT!F33</f>
        <v>m³</v>
      </c>
      <c r="F34" s="172">
        <f>QUANT!G33</f>
        <v>688.5</v>
      </c>
      <c r="G34" s="539">
        <f>'COMP.'!S248</f>
        <v>10.30592</v>
      </c>
      <c r="H34" s="132">
        <f t="shared" ref="H34:H41" si="2">TRUNC((G34*(1+($D$6))),2)</f>
        <v>12.43</v>
      </c>
      <c r="I34" s="132">
        <f t="shared" si="0"/>
        <v>8558.0499999999993</v>
      </c>
      <c r="J34" s="131"/>
    </row>
    <row r="35" spans="1:14" ht="30" customHeight="1">
      <c r="A35" s="201" t="str">
        <f>QUANT!B34</f>
        <v>5.5</v>
      </c>
      <c r="B35" s="201" t="str">
        <f>QUANT!C34</f>
        <v>Comp. 5.5</v>
      </c>
      <c r="C35" s="201" t="str">
        <f>QUANT!D34</f>
        <v>Composição</v>
      </c>
      <c r="D35" s="162" t="str">
        <f>QUANT!E34</f>
        <v>Execução de imprimação com asfalto diluído CM-30. af_09/2017</v>
      </c>
      <c r="E35" s="201" t="str">
        <f>QUANT!F34</f>
        <v>m²</v>
      </c>
      <c r="F35" s="172">
        <f>QUANT!G34</f>
        <v>2887</v>
      </c>
      <c r="G35" s="539">
        <f>'COMP.'!S268</f>
        <v>8.8425050000000009</v>
      </c>
      <c r="H35" s="132">
        <f t="shared" si="2"/>
        <v>10.67</v>
      </c>
      <c r="I35" s="132">
        <f t="shared" si="0"/>
        <v>30804.29</v>
      </c>
      <c r="J35" s="131"/>
    </row>
    <row r="36" spans="1:14" ht="30" customHeight="1">
      <c r="A36" s="201" t="str">
        <f>QUANT!B35</f>
        <v>5.6</v>
      </c>
      <c r="B36" s="201" t="str">
        <f>QUANT!C35</f>
        <v>Comp. 5.6</v>
      </c>
      <c r="C36" s="201" t="str">
        <f>QUANT!D35</f>
        <v>Composição</v>
      </c>
      <c r="D36" s="162" t="str">
        <f>QUANT!E35</f>
        <v>Pintura de ligação com emulsão RR-2C</v>
      </c>
      <c r="E36" s="201" t="str">
        <f>QUANT!F35</f>
        <v>m²</v>
      </c>
      <c r="F36" s="172">
        <f>QUANT!G35</f>
        <v>2887</v>
      </c>
      <c r="G36" s="539">
        <f>'COMP.'!S286</f>
        <v>2.6500210000000002</v>
      </c>
      <c r="H36" s="132">
        <f t="shared" si="2"/>
        <v>3.19</v>
      </c>
      <c r="I36" s="132">
        <f t="shared" si="0"/>
        <v>9209.5300000000007</v>
      </c>
      <c r="J36" s="131"/>
    </row>
    <row r="37" spans="1:14" ht="30" customHeight="1">
      <c r="A37" s="201" t="str">
        <f>QUANT!B36</f>
        <v>5.7</v>
      </c>
      <c r="B37" s="201" t="str">
        <f>QUANT!C36</f>
        <v>Comp. 5.7</v>
      </c>
      <c r="C37" s="201" t="str">
        <f>QUANT!D36</f>
        <v>Composição</v>
      </c>
      <c r="D37" s="171" t="str">
        <f>QUANT!E36</f>
        <v>Construção de pavimento com aplicação de concreto betuminoso usinado a quente (cbuq), camada de rolamento, com espessura de 3,0 cm  exclusive transporte. af_03/2017</v>
      </c>
      <c r="E37" s="201" t="str">
        <f>QUANT!F36</f>
        <v>m³</v>
      </c>
      <c r="F37" s="172">
        <f>QUANT!G36</f>
        <v>86.61</v>
      </c>
      <c r="G37" s="539">
        <f>'COMP.'!S310</f>
        <v>1489.2910730000001</v>
      </c>
      <c r="H37" s="132">
        <f t="shared" si="2"/>
        <v>1797.57</v>
      </c>
      <c r="I37" s="132">
        <f t="shared" si="0"/>
        <v>155687.53</v>
      </c>
      <c r="J37" s="131"/>
    </row>
    <row r="38" spans="1:14" ht="30" customHeight="1">
      <c r="A38" s="201" t="str">
        <f>QUANT!B37</f>
        <v>5.8</v>
      </c>
      <c r="B38" s="201" t="str">
        <f>QUANT!C37</f>
        <v>Comp. 5.8</v>
      </c>
      <c r="C38" s="201" t="str">
        <f>QUANT!D37</f>
        <v>Composição</v>
      </c>
      <c r="D38" s="171" t="str">
        <f>QUANT!E37</f>
        <v>Carga e descarga de material betuminoso a quente com caminhão basculante 6m3, descarga em vibro-acabadora</v>
      </c>
      <c r="E38" s="201" t="str">
        <f>QUANT!F37</f>
        <v>m³</v>
      </c>
      <c r="F38" s="172">
        <f>QUANT!G37</f>
        <v>86.61</v>
      </c>
      <c r="G38" s="539">
        <f>'COMP.'!S324</f>
        <v>6.540659999999999</v>
      </c>
      <c r="H38" s="132">
        <f t="shared" si="2"/>
        <v>7.89</v>
      </c>
      <c r="I38" s="132">
        <f t="shared" si="0"/>
        <v>683.35</v>
      </c>
      <c r="J38" s="131"/>
    </row>
    <row r="39" spans="1:14" ht="30" customHeight="1">
      <c r="A39" s="201" t="str">
        <f>QUANT!B38</f>
        <v>5.9</v>
      </c>
      <c r="B39" s="201">
        <f>QUANT!C38</f>
        <v>93595</v>
      </c>
      <c r="C39" s="201" t="str">
        <f>QUANT!D38</f>
        <v>SINAPI</v>
      </c>
      <c r="D39" s="171" t="str">
        <f>QUANT!E38</f>
        <v>Transporte com caminhão basculante de 10 m3, em via urbana em revestimento primário (unidade: tonxkm). af_04/2016</v>
      </c>
      <c r="E39" s="201" t="str">
        <f>QUANT!F38</f>
        <v>txkm</v>
      </c>
      <c r="F39" s="172">
        <f>QUANT!G38</f>
        <v>4509.9504000000006</v>
      </c>
      <c r="G39" s="539">
        <v>1.65</v>
      </c>
      <c r="H39" s="132">
        <f t="shared" si="2"/>
        <v>1.99</v>
      </c>
      <c r="I39" s="132">
        <f t="shared" si="0"/>
        <v>8974.7999999999993</v>
      </c>
      <c r="J39" s="131"/>
    </row>
    <row r="40" spans="1:14" ht="30" customHeight="1">
      <c r="A40" s="201" t="str">
        <f>QUANT!B39</f>
        <v>5.10</v>
      </c>
      <c r="B40" s="201">
        <f>QUANT!C39</f>
        <v>95878</v>
      </c>
      <c r="C40" s="201" t="str">
        <f>QUANT!D39</f>
        <v>SINAPI</v>
      </c>
      <c r="D40" s="171" t="str">
        <f>QUANT!E39</f>
        <v>Transporte com caminhão basculante de 10 m3, em via urbana pavimentada, dmt até 30 km (unidade: tonxkm). af_12/2016</v>
      </c>
      <c r="E40" s="201" t="str">
        <f>QUANT!F39</f>
        <v>txkm</v>
      </c>
      <c r="F40" s="172">
        <f>QUANT!G39</f>
        <v>26780.997600000002</v>
      </c>
      <c r="G40" s="539">
        <v>1.52</v>
      </c>
      <c r="H40" s="132">
        <f t="shared" si="2"/>
        <v>1.83</v>
      </c>
      <c r="I40" s="132">
        <f t="shared" si="0"/>
        <v>49009.22</v>
      </c>
      <c r="J40" s="131"/>
    </row>
    <row r="41" spans="1:14" ht="30" customHeight="1">
      <c r="A41" s="201" t="str">
        <f>QUANT!B40</f>
        <v>5.11</v>
      </c>
      <c r="B41" s="201" t="str">
        <f>QUANT!C40</f>
        <v>Comp. 5.11</v>
      </c>
      <c r="C41" s="201" t="str">
        <f>QUANT!D40</f>
        <v>Composição</v>
      </c>
      <c r="D41" s="171" t="str">
        <f>QUANT!E40</f>
        <v>Transporte com caminhão basculante 10 m3 de massa asfáltica para pavimentação urbana</v>
      </c>
      <c r="E41" s="201" t="str">
        <f>QUANT!F40</f>
        <v>m³xkm</v>
      </c>
      <c r="F41" s="172">
        <f>QUANT!G40</f>
        <v>996.01</v>
      </c>
      <c r="G41" s="539">
        <f>'COMP.'!S339</f>
        <v>1.483797072</v>
      </c>
      <c r="H41" s="132">
        <f t="shared" si="2"/>
        <v>1.79</v>
      </c>
      <c r="I41" s="132">
        <f t="shared" si="0"/>
        <v>1782.85</v>
      </c>
      <c r="J41" s="131">
        <f>SUM(I32:I41)</f>
        <v>284630.31999999995</v>
      </c>
    </row>
    <row r="42" spans="1:14" ht="30" customHeight="1">
      <c r="A42" s="201"/>
      <c r="B42" s="201"/>
      <c r="C42" s="201"/>
      <c r="D42" s="162"/>
      <c r="E42" s="201"/>
      <c r="F42" s="172"/>
      <c r="G42" s="539"/>
      <c r="H42" s="132"/>
      <c r="I42" s="132"/>
      <c r="J42" s="132"/>
    </row>
    <row r="43" spans="1:14" ht="30" customHeight="1">
      <c r="A43" s="188" t="str">
        <f>QUANT!B42</f>
        <v>6.0</v>
      </c>
      <c r="B43" s="188"/>
      <c r="C43" s="188"/>
      <c r="D43" s="187" t="str">
        <f>QUANT!E42</f>
        <v>SINALIZAÇÃO HORIZONTAL/VERTICAL</v>
      </c>
      <c r="E43" s="201"/>
      <c r="F43" s="172"/>
      <c r="G43" s="539"/>
      <c r="H43" s="132"/>
      <c r="I43" s="132"/>
      <c r="J43" s="132"/>
    </row>
    <row r="44" spans="1:14" ht="30" customHeight="1">
      <c r="A44" s="201" t="str">
        <f>QUANT!B43</f>
        <v>6.1</v>
      </c>
      <c r="B44" s="201" t="str">
        <f>QUANT!C43</f>
        <v>Comp. 6.1</v>
      </c>
      <c r="C44" s="201" t="str">
        <f>QUANT!D43</f>
        <v>Composição</v>
      </c>
      <c r="D44" s="171" t="str">
        <f>QUANT!E43</f>
        <v>Sinalizacao horizontal com tinta retrorrefletiva a base de resina acrilica  c/ micro esfera de vidro</v>
      </c>
      <c r="E44" s="201" t="str">
        <f>QUANT!F43</f>
        <v>m²</v>
      </c>
      <c r="F44" s="172">
        <f>QUANT!G43</f>
        <v>247.54249999999999</v>
      </c>
      <c r="G44" s="539">
        <f>'COMP.'!S360</f>
        <v>16.502981350000002</v>
      </c>
      <c r="H44" s="132">
        <f>TRUNC((G44*(1+($D$6))),2)</f>
        <v>19.91</v>
      </c>
      <c r="I44" s="132">
        <f t="shared" si="0"/>
        <v>4928.57</v>
      </c>
      <c r="J44" s="132"/>
    </row>
    <row r="45" spans="1:14" ht="30" customHeight="1">
      <c r="A45" s="201" t="str">
        <f>QUANT!B44</f>
        <v>6.2</v>
      </c>
      <c r="B45" s="201">
        <f>QUANT!C44</f>
        <v>5213405</v>
      </c>
      <c r="C45" s="201" t="str">
        <f>QUANT!D44</f>
        <v>SICRO</v>
      </c>
      <c r="D45" s="162" t="str">
        <f>QUANT!E44</f>
        <v>Pintura de setas e zebrados - tinta base acrílica - espessura de 0,6 mm</v>
      </c>
      <c r="E45" s="201" t="str">
        <f>QUANT!F44</f>
        <v>m²</v>
      </c>
      <c r="F45" s="172">
        <f>QUANT!G44</f>
        <v>23.34</v>
      </c>
      <c r="G45" s="539">
        <v>51.27</v>
      </c>
      <c r="H45" s="132">
        <f>TRUNC((G45*(1+($D$6))),2)</f>
        <v>61.88</v>
      </c>
      <c r="I45" s="132">
        <f t="shared" si="0"/>
        <v>1444.27</v>
      </c>
      <c r="J45" s="132"/>
    </row>
    <row r="46" spans="1:14" ht="30" customHeight="1">
      <c r="A46" s="201" t="str">
        <f>QUANT!B45</f>
        <v>6.3</v>
      </c>
      <c r="B46" s="201">
        <f>QUANT!C45</f>
        <v>5213417</v>
      </c>
      <c r="C46" s="201" t="str">
        <f>QUANT!D45</f>
        <v>SICRO</v>
      </c>
      <c r="D46" s="171" t="str">
        <f>QUANT!E45</f>
        <v>Confecção de placa em aço nº 16 galvanizado, com película retrorrefletiva tipo I + III</v>
      </c>
      <c r="E46" s="201" t="str">
        <f>QUANT!F45</f>
        <v>m²</v>
      </c>
      <c r="F46" s="172">
        <f>QUANT!G45</f>
        <v>1.698</v>
      </c>
      <c r="G46" s="539">
        <v>474.87</v>
      </c>
      <c r="H46" s="132">
        <f>TRUNC((G46*(1+($D$6))),2)</f>
        <v>573.16</v>
      </c>
      <c r="I46" s="132">
        <f t="shared" si="0"/>
        <v>973.22</v>
      </c>
      <c r="J46" s="131"/>
    </row>
    <row r="47" spans="1:14" ht="30" customHeight="1">
      <c r="A47" s="201" t="str">
        <f>QUANT!B46</f>
        <v>6.4</v>
      </c>
      <c r="B47" s="201">
        <f>QUANT!C46</f>
        <v>5213855</v>
      </c>
      <c r="C47" s="201" t="str">
        <f>QUANT!D46</f>
        <v>SICRO</v>
      </c>
      <c r="D47" s="171" t="str">
        <f>QUANT!E46</f>
        <v>Fornecimento e implantação de suporte metálico galvanizado para placa de regulamentação - R1 - lado de 0,248 m</v>
      </c>
      <c r="E47" s="201"/>
      <c r="F47" s="172">
        <f>QUANT!G46</f>
        <v>6</v>
      </c>
      <c r="G47" s="539">
        <v>396.61</v>
      </c>
      <c r="H47" s="132">
        <f>TRUNC((G47*(1+($D$6))),2)</f>
        <v>478.7</v>
      </c>
      <c r="I47" s="132">
        <f t="shared" si="0"/>
        <v>2872.2</v>
      </c>
      <c r="J47" s="131">
        <f>SUM(I44:I47)</f>
        <v>10218.26</v>
      </c>
    </row>
    <row r="48" spans="1:14" ht="30" customHeight="1">
      <c r="A48" s="201"/>
      <c r="B48" s="201"/>
      <c r="C48" s="201"/>
      <c r="D48" s="162"/>
      <c r="E48" s="201"/>
      <c r="F48" s="172"/>
      <c r="G48" s="539"/>
      <c r="H48" s="132"/>
      <c r="I48" s="132"/>
      <c r="J48" s="132"/>
      <c r="K48" s="194"/>
      <c r="L48" s="194"/>
      <c r="M48" s="194"/>
      <c r="N48" s="194"/>
    </row>
    <row r="49" spans="1:14" ht="30" customHeight="1">
      <c r="A49" s="188" t="str">
        <f>QUANT!B48</f>
        <v>7.0</v>
      </c>
      <c r="B49" s="188"/>
      <c r="C49" s="188"/>
      <c r="D49" s="187" t="str">
        <f>QUANT!E48</f>
        <v>OBRAS COMPLEMENTARES</v>
      </c>
      <c r="E49" s="201"/>
      <c r="F49" s="172"/>
      <c r="G49" s="539"/>
      <c r="H49" s="132"/>
      <c r="I49" s="132"/>
      <c r="J49" s="132"/>
      <c r="K49" s="193"/>
      <c r="L49" s="193"/>
      <c r="M49" s="193"/>
      <c r="N49" s="193"/>
    </row>
    <row r="50" spans="1:14" ht="30" customHeight="1">
      <c r="A50" s="201" t="str">
        <f>QUANT!B49</f>
        <v>7.1</v>
      </c>
      <c r="B50" s="201">
        <f>QUANT!C49</f>
        <v>94267</v>
      </c>
      <c r="C50" s="201" t="str">
        <f>QUANT!D49</f>
        <v>SINAPI</v>
      </c>
      <c r="D50" s="171" t="str">
        <f>QUANT!E49</f>
        <v>Guia (meio-fio) e sarjeta conjugados de concreto, moldada i n loco em trecho reto com extrusora, guia 13 cm base x 22 cm altura. af_06/2016</v>
      </c>
      <c r="E50" s="201" t="str">
        <f>QUANT!F49</f>
        <v>m</v>
      </c>
      <c r="F50" s="172">
        <f>QUANT!G49</f>
        <v>833.57600000000002</v>
      </c>
      <c r="G50" s="539">
        <v>59.44</v>
      </c>
      <c r="H50" s="132">
        <f>TRUNC((G50*(1+($D$6))),2)</f>
        <v>71.739999999999995</v>
      </c>
      <c r="I50" s="132">
        <f t="shared" si="0"/>
        <v>59800.74</v>
      </c>
      <c r="J50" s="132"/>
      <c r="K50" s="193"/>
      <c r="L50" s="193"/>
      <c r="M50" s="193"/>
      <c r="N50" s="193"/>
    </row>
    <row r="51" spans="1:14" ht="30" customHeight="1">
      <c r="A51" s="201" t="str">
        <f>QUANT!B50</f>
        <v>7.2</v>
      </c>
      <c r="B51" s="201">
        <f>QUANT!C50</f>
        <v>94268</v>
      </c>
      <c r="C51" s="201" t="str">
        <f>QUANT!D50</f>
        <v>SINAPI</v>
      </c>
      <c r="D51" s="171" t="str">
        <f>QUANT!E50</f>
        <v>Guia (meio-fio) e sarjeta conjugados de concreto, moldada i n loco em trecho curvo com extrusora, guia 13 cm base x 22 cm altura. af_06/2016</v>
      </c>
      <c r="E51" s="201" t="str">
        <f>QUANT!F50</f>
        <v>m</v>
      </c>
      <c r="F51" s="172">
        <f>QUANT!G50</f>
        <v>155.42400000000001</v>
      </c>
      <c r="G51" s="539">
        <v>63.68</v>
      </c>
      <c r="H51" s="132">
        <f>TRUNC((G51*(1+($D$6))),2)</f>
        <v>76.86</v>
      </c>
      <c r="I51" s="132">
        <f t="shared" si="0"/>
        <v>11945.88</v>
      </c>
      <c r="J51" s="132"/>
      <c r="K51" s="193"/>
      <c r="L51" s="193"/>
      <c r="M51" s="193"/>
      <c r="N51" s="193"/>
    </row>
    <row r="52" spans="1:14" s="119" customFormat="1" ht="30" customHeight="1">
      <c r="A52" s="201" t="str">
        <f>QUANT!B51</f>
        <v>7.3</v>
      </c>
      <c r="B52" s="201" t="str">
        <f>QUANT!C51</f>
        <v>Comp. 7.3</v>
      </c>
      <c r="C52" s="201" t="str">
        <f>QUANT!D51</f>
        <v>Composição</v>
      </c>
      <c r="D52" s="171" t="str">
        <f>QUANT!E51</f>
        <v>Placa esmaltada para identificação NR de Rua, dimensões 45X25cm</v>
      </c>
      <c r="E52" s="201" t="str">
        <f>QUANT!F51</f>
        <v>unid</v>
      </c>
      <c r="F52" s="172">
        <f>QUANT!G51</f>
        <v>6</v>
      </c>
      <c r="G52" s="539">
        <f>'COMP.'!S376</f>
        <v>107.592</v>
      </c>
      <c r="H52" s="132">
        <f>TRUNC((G52*(1+($D$6))),2)</f>
        <v>129.86000000000001</v>
      </c>
      <c r="I52" s="132">
        <f t="shared" si="0"/>
        <v>779.16</v>
      </c>
      <c r="J52" s="131">
        <f>SUM(I50:I52)</f>
        <v>72525.78</v>
      </c>
    </row>
    <row r="53" spans="1:14" ht="30" customHeight="1">
      <c r="A53" s="201"/>
      <c r="B53" s="201"/>
      <c r="C53" s="201"/>
      <c r="D53" s="171"/>
      <c r="E53" s="201"/>
      <c r="F53" s="172"/>
      <c r="G53" s="539"/>
      <c r="H53" s="132"/>
      <c r="I53" s="132"/>
      <c r="J53" s="132"/>
    </row>
    <row r="54" spans="1:14" ht="30" customHeight="1">
      <c r="A54" s="188" t="str">
        <f>QUANT!B53</f>
        <v>8.0</v>
      </c>
      <c r="B54" s="188"/>
      <c r="C54" s="188"/>
      <c r="D54" s="187" t="str">
        <f>QUANT!E53</f>
        <v>DRENAGEM</v>
      </c>
      <c r="E54" s="201"/>
      <c r="F54" s="172"/>
      <c r="G54" s="539"/>
      <c r="H54" s="132"/>
      <c r="I54" s="132"/>
      <c r="J54" s="131"/>
    </row>
    <row r="55" spans="1:14" ht="36.75" customHeight="1">
      <c r="A55" s="201" t="s">
        <v>151</v>
      </c>
      <c r="B55" s="201">
        <f>QUANT!C56</f>
        <v>90082</v>
      </c>
      <c r="C55" s="201" t="str">
        <f>QUANT!D56</f>
        <v>SINAPI</v>
      </c>
      <c r="D55" s="171" t="str">
        <f>QUANT!E56</f>
        <v>Escavação mecanizada de vala com prof. até 1,5 m (média entre montante e jusante/uma composição por trecho), com retroescavadeira (0,26 m3/88 hp), larg. de 1,5 m a 2,5 m, em solo de 1a categoria, em locais com alto nível de interferência. af_01/2015</v>
      </c>
      <c r="E55" s="201" t="str">
        <f>QUANT!F56</f>
        <v>m³</v>
      </c>
      <c r="F55" s="172">
        <f>QUANT!G56</f>
        <v>525.22568000000001</v>
      </c>
      <c r="G55" s="539">
        <v>10.65</v>
      </c>
      <c r="H55" s="132">
        <f t="shared" ref="H55:H60" si="3">TRUNC((G55*(1+($D$6))),2)</f>
        <v>12.85</v>
      </c>
      <c r="I55" s="132">
        <f t="shared" ref="I55:I60" si="4">TRUNC(F55*H55,2)</f>
        <v>6749.14</v>
      </c>
      <c r="J55" s="131"/>
    </row>
    <row r="56" spans="1:14" ht="36.75" customHeight="1">
      <c r="A56" s="201" t="s">
        <v>152</v>
      </c>
      <c r="B56" s="201">
        <f>QUANT!C57</f>
        <v>93377</v>
      </c>
      <c r="C56" s="201" t="str">
        <f>QUANT!D57</f>
        <v>SINAPI</v>
      </c>
      <c r="D56" s="171" t="str">
        <f>QUANT!E57</f>
        <v>Reaterro mecanizado de vala com retroescavadeira (capacidade da caçamb a da retro: 0,26 m³ / potência: 88 hp), largura de 0,8 a 1,5 m, profun didade de 1,5 a 3,0 m, com solo (sem substituição) de 1ª categoria em locais com alto nível de interferência. af_04/2016</v>
      </c>
      <c r="E56" s="201" t="str">
        <f>QUANT!F57</f>
        <v>m³</v>
      </c>
      <c r="F56" s="172">
        <f>QUANT!G57</f>
        <v>485.38335999999993</v>
      </c>
      <c r="G56" s="539">
        <v>9.7899999999999991</v>
      </c>
      <c r="H56" s="132">
        <f t="shared" si="3"/>
        <v>11.81</v>
      </c>
      <c r="I56" s="132">
        <f t="shared" si="4"/>
        <v>5732.37</v>
      </c>
      <c r="J56" s="131"/>
    </row>
    <row r="57" spans="1:14" ht="30" customHeight="1">
      <c r="A57" s="201" t="s">
        <v>175</v>
      </c>
      <c r="B57" s="201">
        <f>QUANT!C58</f>
        <v>93595</v>
      </c>
      <c r="C57" s="201" t="str">
        <f>QUANT!D58</f>
        <v>SINAPI</v>
      </c>
      <c r="D57" s="171" t="str">
        <f>QUANT!E58</f>
        <v>Transporte com caminhão basculante de 10 m3, em via urbana em revestimento primário (unidade: tonxkm). af_04/2016</v>
      </c>
      <c r="E57" s="201" t="str">
        <f>QUANT!F58</f>
        <v>txkm</v>
      </c>
      <c r="F57" s="172">
        <f>QUANT!G58</f>
        <v>2260.2719999999999</v>
      </c>
      <c r="G57" s="539">
        <v>1.65</v>
      </c>
      <c r="H57" s="132">
        <f t="shared" si="3"/>
        <v>1.99</v>
      </c>
      <c r="I57" s="132">
        <f t="shared" si="4"/>
        <v>4497.9399999999996</v>
      </c>
      <c r="J57" s="131"/>
    </row>
    <row r="58" spans="1:14" ht="30" customHeight="1">
      <c r="A58" s="201" t="s">
        <v>167</v>
      </c>
      <c r="B58" s="201">
        <f>QUANT!C59</f>
        <v>95878</v>
      </c>
      <c r="C58" s="201" t="str">
        <f>QUANT!D59</f>
        <v>SINAPI</v>
      </c>
      <c r="D58" s="171" t="str">
        <f>QUANT!E59</f>
        <v>Transporte com caminhão basculante de 10 m3, em via urbana pavimentada, dmt até 30 km (unidade: tonxkm). af_12/2016</v>
      </c>
      <c r="E58" s="201" t="str">
        <f>QUANT!F59</f>
        <v>txkm</v>
      </c>
      <c r="F58" s="172">
        <f>QUANT!G59</f>
        <v>5972.7687599999999</v>
      </c>
      <c r="G58" s="539">
        <v>1.52</v>
      </c>
      <c r="H58" s="132">
        <f t="shared" si="3"/>
        <v>1.83</v>
      </c>
      <c r="I58" s="132">
        <f t="shared" si="4"/>
        <v>10930.16</v>
      </c>
      <c r="J58" s="131"/>
    </row>
    <row r="59" spans="1:14" ht="30" customHeight="1">
      <c r="A59" s="201" t="s">
        <v>176</v>
      </c>
      <c r="B59" s="201" t="str">
        <f>QUANT!C60</f>
        <v>Comp. 8.10</v>
      </c>
      <c r="C59" s="201" t="str">
        <f>QUANT!D60</f>
        <v>Composição</v>
      </c>
      <c r="D59" s="171" t="str">
        <f>QUANT!E60</f>
        <v>Carga e descarga mecânica de solo utilizando caminhão basculante 6m³/16t e pa carregadeira sobre pneus * 128 hp * cap. até 2,8m3</v>
      </c>
      <c r="E59" s="201" t="str">
        <f>QUANT!F60</f>
        <v>m³</v>
      </c>
      <c r="F59" s="172">
        <f>QUANT!G60</f>
        <v>188.35599999999999</v>
      </c>
      <c r="G59" s="539">
        <f>'COMP.'!S464</f>
        <v>2.1677700000000004</v>
      </c>
      <c r="H59" s="132">
        <f t="shared" si="3"/>
        <v>2.61</v>
      </c>
      <c r="I59" s="132">
        <f t="shared" si="4"/>
        <v>491.6</v>
      </c>
      <c r="J59" s="131"/>
    </row>
    <row r="60" spans="1:14" ht="30" customHeight="1">
      <c r="A60" s="201" t="s">
        <v>518</v>
      </c>
      <c r="B60" s="201" t="str">
        <f>QUANT!C61</f>
        <v>Comp. 8.11</v>
      </c>
      <c r="C60" s="201" t="str">
        <f>QUANT!D61</f>
        <v>Composição</v>
      </c>
      <c r="D60" s="171" t="str">
        <f>QUANT!E61</f>
        <v>Espalhamento de material em bota fora, com utilizacao de trator de esteiras de 165 HP</v>
      </c>
      <c r="E60" s="201" t="str">
        <f>QUANT!F61</f>
        <v>m³</v>
      </c>
      <c r="F60" s="172">
        <f>QUANT!G61</f>
        <v>188.35599999999999</v>
      </c>
      <c r="G60" s="539">
        <f>'COMP.'!S479</f>
        <v>1.2728711189999999</v>
      </c>
      <c r="H60" s="132">
        <f t="shared" si="3"/>
        <v>1.53</v>
      </c>
      <c r="I60" s="132">
        <f t="shared" si="4"/>
        <v>288.18</v>
      </c>
      <c r="J60" s="131">
        <f>SUM(I55:I60)</f>
        <v>28689.39</v>
      </c>
    </row>
    <row r="61" spans="1:14" ht="30" customHeight="1">
      <c r="A61" s="201"/>
      <c r="B61" s="201"/>
      <c r="C61" s="201"/>
      <c r="D61" s="171"/>
      <c r="E61" s="201"/>
      <c r="F61" s="172"/>
      <c r="G61" s="539"/>
      <c r="H61" s="132"/>
      <c r="I61" s="132"/>
      <c r="J61" s="131"/>
    </row>
    <row r="62" spans="1:14" s="143" customFormat="1" ht="30" customHeight="1">
      <c r="A62" s="188" t="str">
        <f>QUANT!B63</f>
        <v>9.0</v>
      </c>
      <c r="B62" s="188"/>
      <c r="C62" s="188"/>
      <c r="D62" s="260" t="str">
        <f>QUANT!E63</f>
        <v>ÓRGÃOS ACESSÓRIOS</v>
      </c>
      <c r="E62" s="188"/>
      <c r="F62" s="189"/>
      <c r="G62" s="538"/>
      <c r="H62" s="131"/>
      <c r="I62" s="131"/>
      <c r="J62" s="131"/>
    </row>
    <row r="63" spans="1:14" ht="30" customHeight="1">
      <c r="A63" s="201" t="str">
        <f>QUANT!B64</f>
        <v>9.1</v>
      </c>
      <c r="B63" s="201">
        <f>QUANT!C64</f>
        <v>2003460</v>
      </c>
      <c r="C63" s="201" t="str">
        <f>QUANT!D64</f>
        <v>SICRO</v>
      </c>
      <c r="D63" s="171" t="str">
        <f>QUANT!E64</f>
        <v>Dissipador de energia - DEB 07 - areia, brita e pedra de mão comerciais</v>
      </c>
      <c r="E63" s="201" t="str">
        <f>QUANT!F64</f>
        <v>unid</v>
      </c>
      <c r="F63" s="172">
        <f>QUANT!G64</f>
        <v>1</v>
      </c>
      <c r="G63" s="539">
        <v>3656.1</v>
      </c>
      <c r="H63" s="132">
        <f t="shared" ref="H63:H68" si="5">TRUNC((G63*(1+($D$6))),2)</f>
        <v>4412.91</v>
      </c>
      <c r="I63" s="132">
        <f t="shared" ref="I63:I64" si="6">TRUNC(F63*H63,2)</f>
        <v>4412.91</v>
      </c>
      <c r="J63" s="131"/>
    </row>
    <row r="64" spans="1:14" ht="30" customHeight="1">
      <c r="A64" s="201" t="str">
        <f>QUANT!B65</f>
        <v>9.2</v>
      </c>
      <c r="B64" s="201">
        <f>QUANT!C65</f>
        <v>804053</v>
      </c>
      <c r="C64" s="201" t="str">
        <f>QUANT!D65</f>
        <v>SICRO</v>
      </c>
      <c r="D64" s="171" t="str">
        <f>QUANT!E65</f>
        <v>Corpo de BSTC D = 1,50 m PA1 - areia, brita e pedra de mão comerciais</v>
      </c>
      <c r="E64" s="201" t="str">
        <f>QUANT!F65</f>
        <v>m</v>
      </c>
      <c r="F64" s="172">
        <f>QUANT!G65</f>
        <v>14</v>
      </c>
      <c r="G64" s="539">
        <v>956.58</v>
      </c>
      <c r="H64" s="132">
        <f t="shared" si="5"/>
        <v>1154.5899999999999</v>
      </c>
      <c r="I64" s="132">
        <f t="shared" si="6"/>
        <v>16164.26</v>
      </c>
      <c r="J64" s="131"/>
    </row>
    <row r="65" spans="1:13" ht="30" customHeight="1">
      <c r="A65" s="201" t="str">
        <f>QUANT!B66</f>
        <v>9.3</v>
      </c>
      <c r="B65" s="201">
        <f>QUANT!C66</f>
        <v>804409</v>
      </c>
      <c r="C65" s="201" t="str">
        <f>QUANT!D66</f>
        <v>SICRO</v>
      </c>
      <c r="D65" s="171" t="str">
        <f>QUANT!E66</f>
        <v>Boca de BSTC D = 1,50 m - esconsidade 0° - areia e brita comerciais - alas esconsas</v>
      </c>
      <c r="E65" s="201" t="str">
        <f>QUANT!F66</f>
        <v>unid</v>
      </c>
      <c r="F65" s="172">
        <f>QUANT!G66</f>
        <v>2</v>
      </c>
      <c r="G65" s="539">
        <v>1015.14</v>
      </c>
      <c r="H65" s="132">
        <f t="shared" si="5"/>
        <v>1225.27</v>
      </c>
      <c r="I65" s="132">
        <f t="shared" ref="I65:I68" si="7">TRUNC(F65*H65,2)</f>
        <v>2450.54</v>
      </c>
      <c r="J65" s="131"/>
    </row>
    <row r="66" spans="1:13" ht="30" customHeight="1">
      <c r="A66" s="201" t="str">
        <f>QUANT!B67</f>
        <v>9.4</v>
      </c>
      <c r="B66" s="201">
        <f>QUANT!C67</f>
        <v>705199</v>
      </c>
      <c r="C66" s="201" t="str">
        <f>QUANT!D67</f>
        <v>SICRO</v>
      </c>
      <c r="D66" s="171" t="str">
        <f>QUANT!E67</f>
        <v>Corpo de BSCC 2,50 x 2,50 m - moldado no local - altura do aterro 1,00 a 2,50 m - areia e brita comerciais</v>
      </c>
      <c r="E66" s="201" t="str">
        <f>QUANT!F67</f>
        <v>m</v>
      </c>
      <c r="F66" s="172">
        <f>QUANT!G67</f>
        <v>14</v>
      </c>
      <c r="G66" s="539">
        <v>4547.46</v>
      </c>
      <c r="H66" s="132">
        <f t="shared" ref="H66:H67" si="8">TRUNC((G66*(1+($D$6))),2)</f>
        <v>5488.78</v>
      </c>
      <c r="I66" s="132">
        <f t="shared" ref="I66:I67" si="9">TRUNC(F66*H66,2)</f>
        <v>76842.92</v>
      </c>
      <c r="J66" s="131"/>
    </row>
    <row r="67" spans="1:13" ht="30" customHeight="1">
      <c r="A67" s="201" t="str">
        <f>QUANT!B68</f>
        <v>9.5</v>
      </c>
      <c r="B67" s="201">
        <f>QUANT!C68</f>
        <v>705241</v>
      </c>
      <c r="C67" s="201" t="str">
        <f>QUANT!D68</f>
        <v>SICRO</v>
      </c>
      <c r="D67" s="171" t="str">
        <f>QUANT!E68</f>
        <v>Boca de BSCC 2,50 x 2,50 m - esconsidade 0° - areia e brita comerciais</v>
      </c>
      <c r="E67" s="201" t="str">
        <f>QUANT!F68</f>
        <v>unid</v>
      </c>
      <c r="F67" s="172">
        <f>QUANT!G68</f>
        <v>2</v>
      </c>
      <c r="G67" s="539">
        <v>25660.74</v>
      </c>
      <c r="H67" s="132">
        <f t="shared" si="8"/>
        <v>30972.51</v>
      </c>
      <c r="I67" s="132">
        <f t="shared" si="9"/>
        <v>61945.02</v>
      </c>
      <c r="J67" s="131"/>
    </row>
    <row r="68" spans="1:13" ht="30" customHeight="1">
      <c r="A68" s="201" t="str">
        <f>QUANT!B69</f>
        <v>9.6</v>
      </c>
      <c r="B68" s="201">
        <f>QUANT!C69</f>
        <v>2003387</v>
      </c>
      <c r="C68" s="201" t="str">
        <f>QUANT!D69</f>
        <v>SICRO</v>
      </c>
      <c r="D68" s="171" t="str">
        <f>QUANT!E69</f>
        <v>Entrada para descida d'água - EDA 02 - areia e brita comerciais</v>
      </c>
      <c r="E68" s="201" t="str">
        <f>QUANT!F69</f>
        <v>unid</v>
      </c>
      <c r="F68" s="172">
        <f>QUANT!G69</f>
        <v>3</v>
      </c>
      <c r="G68" s="539">
        <v>68.98</v>
      </c>
      <c r="H68" s="132">
        <f t="shared" si="5"/>
        <v>83.25</v>
      </c>
      <c r="I68" s="132">
        <f t="shared" si="7"/>
        <v>249.75</v>
      </c>
      <c r="J68" s="131"/>
    </row>
    <row r="69" spans="1:13" ht="30" customHeight="1">
      <c r="A69" s="201" t="str">
        <f>QUANT!B70</f>
        <v>9.7</v>
      </c>
      <c r="B69" s="201">
        <f>QUANT!C70</f>
        <v>2003391</v>
      </c>
      <c r="C69" s="201" t="str">
        <f>QUANT!D70</f>
        <v>SICRO</v>
      </c>
      <c r="D69" s="171" t="str">
        <f>QUANT!E70</f>
        <v>Descida d'água de aterros tipo rápido - DAR 02 - areia e brita comerciais</v>
      </c>
      <c r="E69" s="201" t="str">
        <f>QUANT!F70</f>
        <v>m</v>
      </c>
      <c r="F69" s="172">
        <f>QUANT!G70</f>
        <v>9</v>
      </c>
      <c r="G69" s="539">
        <v>147.86000000000001</v>
      </c>
      <c r="H69" s="132">
        <f t="shared" ref="H69" si="10">TRUNC((G69*(1+($D$6))),2)</f>
        <v>178.46</v>
      </c>
      <c r="I69" s="132">
        <f t="shared" ref="I69" si="11">TRUNC(F69*H69,2)</f>
        <v>1606.14</v>
      </c>
      <c r="J69" s="131">
        <f>SUM(I63:I69)</f>
        <v>163671.54</v>
      </c>
    </row>
    <row r="70" spans="1:13" ht="30" customHeight="1">
      <c r="A70" s="201"/>
      <c r="B70" s="201"/>
      <c r="C70" s="201"/>
      <c r="D70" s="162"/>
      <c r="E70" s="201"/>
      <c r="F70" s="172"/>
      <c r="G70" s="539"/>
      <c r="H70" s="172"/>
      <c r="I70" s="189" t="s">
        <v>16</v>
      </c>
      <c r="J70" s="195">
        <f>SUM(J10:J69)</f>
        <v>723903.82</v>
      </c>
      <c r="L70" s="121">
        <v>874537.2</v>
      </c>
      <c r="M70" s="196"/>
    </row>
    <row r="71" spans="1:13" ht="17.45" customHeight="1">
      <c r="L71" s="121">
        <f>L70-150000</f>
        <v>724537.2</v>
      </c>
      <c r="M71" s="634"/>
    </row>
    <row r="72" spans="1:13" ht="17.45" customHeight="1">
      <c r="F72" s="694"/>
      <c r="G72" s="694"/>
      <c r="L72" s="121">
        <f>J70-L71</f>
        <v>-633.38000000000466</v>
      </c>
      <c r="M72" s="634"/>
    </row>
    <row r="73" spans="1:13" ht="16.7" customHeight="1">
      <c r="F73" s="694"/>
      <c r="G73" s="694"/>
      <c r="J73" s="121">
        <f>J70-RESUMO!D37</f>
        <v>0</v>
      </c>
    </row>
    <row r="74" spans="1:13" ht="17.45" customHeight="1">
      <c r="F74" s="120">
        <f>SUM(F9:F69)</f>
        <v>90163.937772000034</v>
      </c>
    </row>
    <row r="76" spans="1:13" ht="17.45" customHeight="1">
      <c r="F76" s="120">
        <f>F74-QUANT!G73</f>
        <v>-20</v>
      </c>
    </row>
    <row r="78" spans="1:13" ht="22.5" customHeight="1">
      <c r="J78" s="86"/>
    </row>
  </sheetData>
  <customSheetViews>
    <customSheetView guid="{E8D46A29-8D28-49CA-936A-9705D639E1C7}">
      <selection activeCell="H4" sqref="H4"/>
      <pageMargins left="0.39370078740157483" right="0.39370078740157483" top="0.98425196850393704" bottom="0.39370078740157483" header="0.51181102362204722" footer="0.51181102362204722"/>
      <printOptions horizontalCentered="1"/>
      <pageSetup paperSize="9" scale="75" orientation="portrait" r:id="rId1"/>
      <headerFooter alignWithMargins="0"/>
    </customSheetView>
  </customSheetViews>
  <mergeCells count="15">
    <mergeCell ref="J3:J5"/>
    <mergeCell ref="F73:G73"/>
    <mergeCell ref="D5:I5"/>
    <mergeCell ref="A1:C5"/>
    <mergeCell ref="A6:C6"/>
    <mergeCell ref="A7:C7"/>
    <mergeCell ref="D1:I1"/>
    <mergeCell ref="D2:I3"/>
    <mergeCell ref="F72:G72"/>
    <mergeCell ref="E6:F7"/>
    <mergeCell ref="G6:G7"/>
    <mergeCell ref="H6:H7"/>
    <mergeCell ref="I6:I7"/>
    <mergeCell ref="J6:J7"/>
    <mergeCell ref="D4:I4"/>
  </mergeCells>
  <phoneticPr fontId="0" type="noConversion"/>
  <printOptions horizontalCentered="1"/>
  <pageMargins left="0.39370078740157483" right="0.19685039370078741" top="0.98425196850393704" bottom="0.39370078740157483" header="0.51181102362204722" footer="0.51181102362204722"/>
  <pageSetup paperSize="9" fitToWidth="4" fitToHeight="0" orientation="portrait" r:id="rId2"/>
  <headerFooter alignWithMargins="0"/>
  <ignoredErrors>
    <ignoredError sqref="H3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3">
    <tabColor rgb="FF00B050"/>
  </sheetPr>
  <dimension ref="A1:M47"/>
  <sheetViews>
    <sheetView topLeftCell="A25" zoomScaleNormal="100" workbookViewId="0">
      <selection activeCell="C17" sqref="C17:H17"/>
    </sheetView>
  </sheetViews>
  <sheetFormatPr defaultColWidth="9.140625" defaultRowHeight="14.25" customHeight="1"/>
  <cols>
    <col min="1" max="1" width="16.85546875" style="86" customWidth="1"/>
    <col min="2" max="2" width="68.85546875" style="86" customWidth="1"/>
    <col min="3" max="3" width="12.7109375" style="86" customWidth="1"/>
    <col min="4" max="4" width="12.140625" style="86" customWidth="1"/>
    <col min="5" max="5" width="8" style="86" customWidth="1"/>
    <col min="6" max="6" width="13.42578125" style="86" bestFit="1" customWidth="1"/>
    <col min="7" max="7" width="9.140625" style="86"/>
    <col min="8" max="8" width="15.5703125" style="86" customWidth="1"/>
    <col min="9" max="9" width="9.28515625" style="259" bestFit="1" customWidth="1"/>
    <col min="10" max="10" width="21.5703125" style="86" customWidth="1"/>
    <col min="11" max="16384" width="9.140625" style="86"/>
  </cols>
  <sheetData>
    <row r="1" spans="1:13" ht="13.5" customHeight="1">
      <c r="A1" s="726" t="str">
        <f>QUANT!B4</f>
        <v>LOGRADOUROS</v>
      </c>
      <c r="B1" s="684" t="str">
        <f>QUANT!D4</f>
        <v>Rua Belga, Rua Março e Rua Julho</v>
      </c>
      <c r="C1" s="685"/>
      <c r="D1" s="685"/>
      <c r="E1" s="685"/>
      <c r="F1" s="685"/>
      <c r="G1" s="685"/>
      <c r="H1" s="685"/>
      <c r="I1" s="685"/>
      <c r="J1" s="686"/>
    </row>
    <row r="2" spans="1:13" ht="35.25" customHeight="1">
      <c r="A2" s="727"/>
      <c r="B2" s="687"/>
      <c r="C2" s="673"/>
      <c r="D2" s="673"/>
      <c r="E2" s="673"/>
      <c r="F2" s="673"/>
      <c r="G2" s="673"/>
      <c r="H2" s="673"/>
      <c r="I2" s="673"/>
      <c r="J2" s="688"/>
    </row>
    <row r="3" spans="1:13" ht="23.25" customHeight="1">
      <c r="A3" s="200" t="str">
        <f>'ORÇA '!A22</f>
        <v>4.0</v>
      </c>
      <c r="B3" s="152" t="str">
        <f>'ORÇA '!D22</f>
        <v>TERRAPLENAGEM</v>
      </c>
      <c r="C3" s="153"/>
      <c r="D3" s="153"/>
      <c r="E3" s="153"/>
      <c r="F3" s="153"/>
      <c r="G3" s="153"/>
      <c r="H3" s="153"/>
      <c r="I3" s="252"/>
      <c r="J3" s="154"/>
    </row>
    <row r="4" spans="1:13" ht="23.25" customHeight="1">
      <c r="A4" s="269" t="s">
        <v>200</v>
      </c>
      <c r="B4" s="155"/>
      <c r="C4" s="728" t="s">
        <v>655</v>
      </c>
      <c r="D4" s="728"/>
      <c r="E4" s="728"/>
      <c r="F4" s="728"/>
      <c r="G4" s="728"/>
      <c r="H4" s="728"/>
      <c r="I4" s="253"/>
      <c r="J4" s="156"/>
    </row>
    <row r="5" spans="1:13" ht="23.25" customHeight="1">
      <c r="A5" s="157" t="s">
        <v>17</v>
      </c>
      <c r="B5" s="616" t="s">
        <v>18</v>
      </c>
      <c r="C5" s="157" t="s">
        <v>19</v>
      </c>
      <c r="D5" s="157" t="s">
        <v>13</v>
      </c>
      <c r="E5" s="157" t="s">
        <v>20</v>
      </c>
      <c r="F5" s="201" t="s">
        <v>21</v>
      </c>
      <c r="G5" s="201"/>
      <c r="H5" s="158" t="s">
        <v>22</v>
      </c>
      <c r="I5" s="622" t="s">
        <v>23</v>
      </c>
      <c r="J5" s="157" t="s">
        <v>24</v>
      </c>
    </row>
    <row r="6" spans="1:13" ht="23.25" customHeight="1">
      <c r="A6" s="157"/>
      <c r="B6" s="616"/>
      <c r="C6" s="157"/>
      <c r="D6" s="157"/>
      <c r="E6" s="157"/>
      <c r="F6" s="201" t="s">
        <v>25</v>
      </c>
      <c r="G6" s="201" t="s">
        <v>12</v>
      </c>
      <c r="H6" s="158"/>
      <c r="I6" s="622"/>
      <c r="J6" s="157"/>
    </row>
    <row r="7" spans="1:13" ht="23.25" customHeight="1">
      <c r="A7" s="201" t="str">
        <f>QUANT!C23</f>
        <v>Comp. 4.2</v>
      </c>
      <c r="B7" s="617" t="str">
        <f>QUANT!E23</f>
        <v>Escavacao mecanica de material 1a. categoria, proveniente de corte de subleito (c/trator esteiras 160hp)</v>
      </c>
      <c r="C7" s="201" t="s">
        <v>26</v>
      </c>
      <c r="D7" s="160">
        <f>'TERRAP E PAVIM'!O16-('TERRAP E PAVIM'!P16*1.15)</f>
        <v>588.16400000000033</v>
      </c>
      <c r="E7" s="201" t="s">
        <v>4</v>
      </c>
      <c r="F7" s="201">
        <v>1.84</v>
      </c>
      <c r="G7" s="201" t="s">
        <v>27</v>
      </c>
      <c r="H7" s="161">
        <f>D7*F7</f>
        <v>1082.2217600000006</v>
      </c>
      <c r="I7" s="623">
        <v>3.56</v>
      </c>
      <c r="J7" s="156">
        <f>H7*I7</f>
        <v>3852.7094656000022</v>
      </c>
    </row>
    <row r="8" spans="1:13" ht="23.25" customHeight="1">
      <c r="A8" s="201" t="s">
        <v>16</v>
      </c>
      <c r="B8" s="618"/>
      <c r="C8" s="162"/>
      <c r="D8" s="162"/>
      <c r="E8" s="162"/>
      <c r="F8" s="162"/>
      <c r="G8" s="162"/>
      <c r="H8" s="162"/>
      <c r="I8" s="253"/>
      <c r="J8" s="163">
        <f>SUM(J7:J7)</f>
        <v>3852.7094656000022</v>
      </c>
    </row>
    <row r="9" spans="1:13" ht="12" customHeight="1">
      <c r="A9" s="164"/>
      <c r="B9" s="165"/>
      <c r="C9" s="547"/>
      <c r="D9" s="547"/>
      <c r="E9" s="547"/>
      <c r="F9" s="547"/>
      <c r="G9" s="547"/>
      <c r="H9" s="547"/>
      <c r="I9" s="257"/>
      <c r="J9" s="166"/>
    </row>
    <row r="10" spans="1:13" ht="23.25" customHeight="1">
      <c r="A10" s="269" t="s">
        <v>201</v>
      </c>
      <c r="B10" s="155"/>
      <c r="C10" s="728" t="str">
        <f>C4</f>
        <v>BAIRRO: MAPIM</v>
      </c>
      <c r="D10" s="728"/>
      <c r="E10" s="728"/>
      <c r="F10" s="728"/>
      <c r="G10" s="728"/>
      <c r="H10" s="728"/>
      <c r="I10" s="253"/>
      <c r="J10" s="156"/>
    </row>
    <row r="11" spans="1:13" ht="23.25" customHeight="1">
      <c r="A11" s="157" t="s">
        <v>17</v>
      </c>
      <c r="B11" s="616" t="s">
        <v>18</v>
      </c>
      <c r="C11" s="157" t="s">
        <v>19</v>
      </c>
      <c r="D11" s="157" t="s">
        <v>13</v>
      </c>
      <c r="E11" s="157" t="s">
        <v>20</v>
      </c>
      <c r="F11" s="201" t="s">
        <v>21</v>
      </c>
      <c r="G11" s="201"/>
      <c r="H11" s="158" t="s">
        <v>22</v>
      </c>
      <c r="I11" s="622" t="s">
        <v>23</v>
      </c>
      <c r="J11" s="157" t="s">
        <v>24</v>
      </c>
    </row>
    <row r="12" spans="1:13" ht="23.25" customHeight="1">
      <c r="A12" s="157"/>
      <c r="B12" s="616"/>
      <c r="C12" s="157"/>
      <c r="D12" s="157"/>
      <c r="E12" s="157"/>
      <c r="F12" s="201" t="s">
        <v>25</v>
      </c>
      <c r="G12" s="201" t="s">
        <v>12</v>
      </c>
      <c r="H12" s="158"/>
      <c r="I12" s="622"/>
      <c r="J12" s="157"/>
    </row>
    <row r="13" spans="1:13" ht="23.25" customHeight="1">
      <c r="A13" s="201" t="str">
        <f>A7</f>
        <v>Comp. 4.2</v>
      </c>
      <c r="B13" s="617" t="str">
        <f>B7</f>
        <v>Escavacao mecanica de material 1a. categoria, proveniente de corte de subleito (c/trator esteiras 160hp)</v>
      </c>
      <c r="C13" s="201" t="s">
        <v>26</v>
      </c>
      <c r="D13" s="167">
        <f>D7</f>
        <v>588.16400000000033</v>
      </c>
      <c r="E13" s="201" t="s">
        <v>4</v>
      </c>
      <c r="F13" s="201">
        <v>1.84</v>
      </c>
      <c r="G13" s="201" t="s">
        <v>27</v>
      </c>
      <c r="H13" s="161">
        <f>D13*F13</f>
        <v>1082.2217600000006</v>
      </c>
      <c r="I13" s="623">
        <f>24.7-I7</f>
        <v>21.14</v>
      </c>
      <c r="J13" s="156">
        <f>H13*I13</f>
        <v>22878.168006400014</v>
      </c>
      <c r="M13" s="259"/>
    </row>
    <row r="14" spans="1:13" ht="23.25" customHeight="1">
      <c r="A14" s="201" t="s">
        <v>16</v>
      </c>
      <c r="B14" s="618"/>
      <c r="C14" s="162"/>
      <c r="D14" s="162"/>
      <c r="E14" s="162"/>
      <c r="F14" s="162"/>
      <c r="G14" s="162"/>
      <c r="H14" s="162"/>
      <c r="I14" s="253"/>
      <c r="J14" s="163">
        <f>SUM(J13:J13)</f>
        <v>22878.168006400014</v>
      </c>
    </row>
    <row r="15" spans="1:13" ht="12" customHeight="1">
      <c r="A15" s="164"/>
      <c r="B15" s="155"/>
      <c r="I15" s="256"/>
      <c r="J15" s="163"/>
    </row>
    <row r="16" spans="1:13" ht="23.25" customHeight="1">
      <c r="A16" s="135" t="str">
        <f>'ORÇA '!A31</f>
        <v>5.0</v>
      </c>
      <c r="B16" s="168" t="str">
        <f>'ORÇA '!D31</f>
        <v>PAVIMENTAÇÃO</v>
      </c>
      <c r="C16" s="625"/>
      <c r="D16" s="625"/>
      <c r="E16" s="625"/>
      <c r="F16" s="625"/>
      <c r="G16" s="625"/>
      <c r="H16" s="625"/>
      <c r="I16" s="258"/>
      <c r="J16" s="169"/>
    </row>
    <row r="17" spans="1:10" ht="23.25" customHeight="1">
      <c r="A17" s="170" t="s">
        <v>198</v>
      </c>
      <c r="B17" s="619"/>
      <c r="C17" s="728" t="str">
        <f>C10</f>
        <v>BAIRRO: MAPIM</v>
      </c>
      <c r="D17" s="728"/>
      <c r="E17" s="728"/>
      <c r="F17" s="728"/>
      <c r="G17" s="728"/>
      <c r="H17" s="728"/>
      <c r="I17" s="624"/>
      <c r="J17" s="170"/>
    </row>
    <row r="18" spans="1:10" ht="25.5">
      <c r="A18" s="157" t="s">
        <v>17</v>
      </c>
      <c r="B18" s="616" t="s">
        <v>18</v>
      </c>
      <c r="C18" s="157" t="s">
        <v>19</v>
      </c>
      <c r="D18" s="157" t="s">
        <v>13</v>
      </c>
      <c r="E18" s="157" t="s">
        <v>20</v>
      </c>
      <c r="F18" s="201" t="s">
        <v>21</v>
      </c>
      <c r="G18" s="201"/>
      <c r="H18" s="157" t="s">
        <v>22</v>
      </c>
      <c r="I18" s="622" t="s">
        <v>23</v>
      </c>
      <c r="J18" s="157" t="s">
        <v>24</v>
      </c>
    </row>
    <row r="19" spans="1:10" ht="17.25" customHeight="1">
      <c r="A19" s="157"/>
      <c r="B19" s="616"/>
      <c r="C19" s="157"/>
      <c r="D19" s="157"/>
      <c r="E19" s="157"/>
      <c r="F19" s="201" t="s">
        <v>25</v>
      </c>
      <c r="G19" s="201" t="s">
        <v>12</v>
      </c>
      <c r="H19" s="157"/>
      <c r="I19" s="622"/>
      <c r="J19" s="157"/>
    </row>
    <row r="20" spans="1:10" ht="38.25" customHeight="1">
      <c r="A20" s="201" t="str">
        <f>QUANT!$C$33</f>
        <v>Comp. 5.4</v>
      </c>
      <c r="B20" s="620" t="str">
        <f>QUANT!$E$33</f>
        <v>Execução e compactação de base com solo estabilizado granulometricamente - exclusive escavação, carga e transporte e solo. af_09/2017</v>
      </c>
      <c r="C20" s="201" t="s">
        <v>26</v>
      </c>
      <c r="D20" s="172">
        <f>QUANT!G33</f>
        <v>688.5</v>
      </c>
      <c r="E20" s="201" t="s">
        <v>4</v>
      </c>
      <c r="F20" s="201">
        <v>1.84</v>
      </c>
      <c r="G20" s="201" t="s">
        <v>27</v>
      </c>
      <c r="H20" s="173">
        <f>D20*F20</f>
        <v>1266.8400000000001</v>
      </c>
      <c r="I20" s="623">
        <v>3.56</v>
      </c>
      <c r="J20" s="174">
        <f>H20*I20</f>
        <v>4509.9504000000006</v>
      </c>
    </row>
    <row r="21" spans="1:10" ht="23.25" customHeight="1">
      <c r="A21" s="201" t="s">
        <v>16</v>
      </c>
      <c r="B21" s="618"/>
      <c r="C21" s="162"/>
      <c r="D21" s="162"/>
      <c r="E21" s="162"/>
      <c r="F21" s="162"/>
      <c r="G21" s="162"/>
      <c r="H21" s="162"/>
      <c r="I21" s="253"/>
      <c r="J21" s="163">
        <f>SUM(J20:J20)</f>
        <v>4509.9504000000006</v>
      </c>
    </row>
    <row r="22" spans="1:10" ht="17.25" customHeight="1">
      <c r="A22" s="135"/>
      <c r="B22" s="168"/>
      <c r="C22" s="625"/>
      <c r="D22" s="625"/>
      <c r="E22" s="625"/>
      <c r="F22" s="625"/>
      <c r="G22" s="625"/>
      <c r="H22" s="625"/>
      <c r="I22" s="258"/>
      <c r="J22" s="169"/>
    </row>
    <row r="23" spans="1:10" ht="23.25" customHeight="1">
      <c r="A23" s="175" t="s">
        <v>197</v>
      </c>
      <c r="B23" s="621"/>
      <c r="C23" s="728" t="str">
        <f>C17</f>
        <v>BAIRRO: MAPIM</v>
      </c>
      <c r="D23" s="728"/>
      <c r="E23" s="728"/>
      <c r="F23" s="728"/>
      <c r="G23" s="728"/>
      <c r="H23" s="728"/>
      <c r="I23" s="253"/>
      <c r="J23" s="156"/>
    </row>
    <row r="24" spans="1:10" ht="23.25" customHeight="1">
      <c r="A24" s="157" t="s">
        <v>17</v>
      </c>
      <c r="B24" s="616" t="s">
        <v>18</v>
      </c>
      <c r="C24" s="157" t="s">
        <v>19</v>
      </c>
      <c r="D24" s="157" t="s">
        <v>13</v>
      </c>
      <c r="E24" s="157" t="s">
        <v>20</v>
      </c>
      <c r="F24" s="201" t="s">
        <v>21</v>
      </c>
      <c r="G24" s="201"/>
      <c r="H24" s="157" t="s">
        <v>22</v>
      </c>
      <c r="I24" s="622" t="s">
        <v>23</v>
      </c>
      <c r="J24" s="157" t="s">
        <v>24</v>
      </c>
    </row>
    <row r="25" spans="1:10" ht="14.25" customHeight="1">
      <c r="A25" s="157"/>
      <c r="B25" s="616"/>
      <c r="C25" s="157"/>
      <c r="D25" s="157"/>
      <c r="E25" s="157"/>
      <c r="F25" s="201" t="s">
        <v>25</v>
      </c>
      <c r="G25" s="201" t="s">
        <v>12</v>
      </c>
      <c r="H25" s="157"/>
      <c r="I25" s="622"/>
      <c r="J25" s="157"/>
    </row>
    <row r="26" spans="1:10" ht="38.25" customHeight="1">
      <c r="A26" s="201" t="str">
        <f>QUANT!$C$33</f>
        <v>Comp. 5.4</v>
      </c>
      <c r="B26" s="620" t="str">
        <f>QUANT!$E$33</f>
        <v>Execução e compactação de base com solo estabilizado granulometricamente - exclusive escavação, carga e transporte e solo. af_09/2017</v>
      </c>
      <c r="C26" s="201" t="s">
        <v>26</v>
      </c>
      <c r="D26" s="176">
        <f>D20</f>
        <v>688.5</v>
      </c>
      <c r="E26" s="201" t="s">
        <v>4</v>
      </c>
      <c r="F26" s="201">
        <v>1.84</v>
      </c>
      <c r="G26" s="201" t="s">
        <v>27</v>
      </c>
      <c r="H26" s="161">
        <f>D26*F26</f>
        <v>1266.8400000000001</v>
      </c>
      <c r="I26" s="623">
        <v>21.14</v>
      </c>
      <c r="J26" s="156">
        <f>H26*I26</f>
        <v>26780.997600000002</v>
      </c>
    </row>
    <row r="27" spans="1:10" ht="23.25" customHeight="1">
      <c r="A27" s="201" t="s">
        <v>16</v>
      </c>
      <c r="B27" s="618"/>
      <c r="C27" s="162"/>
      <c r="D27" s="162"/>
      <c r="E27" s="162"/>
      <c r="F27" s="162"/>
      <c r="G27" s="162"/>
      <c r="H27" s="162"/>
      <c r="I27" s="253"/>
      <c r="J27" s="163">
        <f>SUM(J26:J26)</f>
        <v>26780.997600000002</v>
      </c>
    </row>
    <row r="28" spans="1:10" ht="14.25" customHeight="1">
      <c r="A28" s="201"/>
      <c r="B28" s="162"/>
      <c r="C28" s="626"/>
      <c r="D28" s="626"/>
      <c r="E28" s="626"/>
      <c r="F28" s="626"/>
      <c r="G28" s="626"/>
      <c r="H28" s="626"/>
      <c r="I28" s="256"/>
      <c r="J28" s="156"/>
    </row>
    <row r="29" spans="1:10" ht="23.25" customHeight="1">
      <c r="A29" s="170" t="s">
        <v>203</v>
      </c>
      <c r="B29" s="619"/>
      <c r="C29" s="728" t="str">
        <f>C23</f>
        <v>BAIRRO: MAPIM</v>
      </c>
      <c r="D29" s="728"/>
      <c r="E29" s="728"/>
      <c r="F29" s="728"/>
      <c r="G29" s="728"/>
      <c r="H29" s="728"/>
      <c r="I29" s="624"/>
      <c r="J29" s="170"/>
    </row>
    <row r="30" spans="1:10" ht="25.5">
      <c r="A30" s="157" t="s">
        <v>17</v>
      </c>
      <c r="B30" s="616" t="s">
        <v>18</v>
      </c>
      <c r="C30" s="157" t="s">
        <v>19</v>
      </c>
      <c r="D30" s="157" t="s">
        <v>13</v>
      </c>
      <c r="E30" s="157" t="s">
        <v>20</v>
      </c>
      <c r="F30" s="201" t="s">
        <v>21</v>
      </c>
      <c r="G30" s="201"/>
      <c r="H30" s="157" t="s">
        <v>22</v>
      </c>
      <c r="I30" s="622" t="s">
        <v>23</v>
      </c>
      <c r="J30" s="157" t="s">
        <v>172</v>
      </c>
    </row>
    <row r="31" spans="1:10" ht="14.25" customHeight="1">
      <c r="A31" s="157"/>
      <c r="B31" s="616"/>
      <c r="C31" s="157"/>
      <c r="D31" s="157"/>
      <c r="E31" s="157"/>
      <c r="F31" s="201" t="s">
        <v>25</v>
      </c>
      <c r="G31" s="201" t="s">
        <v>12</v>
      </c>
      <c r="H31" s="157"/>
      <c r="I31" s="622"/>
      <c r="J31" s="157"/>
    </row>
    <row r="32" spans="1:10" ht="38.25">
      <c r="A32" s="177" t="str">
        <f>QUANT!C36</f>
        <v>Comp. 5.7</v>
      </c>
      <c r="B32" s="617" t="str">
        <f>QUANT!E36</f>
        <v>Construção de pavimento com aplicação de concreto betuminoso usinado a quente (cbuq), camada de rolamento, com espessura de 3,0 cm  exclusive transporte. af_03/2017</v>
      </c>
      <c r="C32" s="201" t="s">
        <v>59</v>
      </c>
      <c r="D32" s="176">
        <f>QUANT!G36</f>
        <v>86.61</v>
      </c>
      <c r="E32" s="201" t="s">
        <v>4</v>
      </c>
      <c r="F32" s="178">
        <v>1</v>
      </c>
      <c r="G32" s="201" t="s">
        <v>199</v>
      </c>
      <c r="H32" s="161">
        <f>D32*F32</f>
        <v>86.61</v>
      </c>
      <c r="I32" s="623">
        <v>11.5</v>
      </c>
      <c r="J32" s="156">
        <f>INT(H32*I32*100)/100</f>
        <v>996.01</v>
      </c>
    </row>
    <row r="33" spans="1:10" ht="23.25" customHeight="1">
      <c r="A33" s="201" t="s">
        <v>16</v>
      </c>
      <c r="B33" s="618"/>
      <c r="C33" s="162"/>
      <c r="D33" s="162"/>
      <c r="E33" s="162"/>
      <c r="F33" s="162"/>
      <c r="G33" s="162"/>
      <c r="H33" s="162"/>
      <c r="I33" s="253"/>
      <c r="J33" s="163">
        <f>SUM(J32:J32)</f>
        <v>996.01</v>
      </c>
    </row>
    <row r="34" spans="1:10" ht="14.25" customHeight="1">
      <c r="A34" s="201"/>
      <c r="B34" s="618"/>
      <c r="C34" s="162"/>
      <c r="D34" s="162"/>
      <c r="E34" s="162"/>
      <c r="F34" s="162"/>
      <c r="G34" s="162"/>
      <c r="H34" s="162"/>
      <c r="I34" s="253"/>
      <c r="J34" s="156"/>
    </row>
    <row r="35" spans="1:10" ht="23.25" customHeight="1">
      <c r="A35" s="179" t="str">
        <f>'ORÇA '!A54</f>
        <v>8.0</v>
      </c>
      <c r="B35" s="179" t="str">
        <f>'ORÇA '!D54</f>
        <v>DRENAGEM</v>
      </c>
      <c r="C35" s="732"/>
      <c r="D35" s="733"/>
      <c r="E35" s="733"/>
      <c r="F35" s="733"/>
      <c r="G35" s="733"/>
      <c r="H35" s="733"/>
      <c r="I35" s="733"/>
      <c r="J35" s="734"/>
    </row>
    <row r="36" spans="1:10" ht="23.25" customHeight="1">
      <c r="A36" s="170" t="s">
        <v>198</v>
      </c>
      <c r="B36" s="619"/>
      <c r="C36" s="728" t="str">
        <f>C29</f>
        <v>BAIRRO: MAPIM</v>
      </c>
      <c r="D36" s="728"/>
      <c r="E36" s="728"/>
      <c r="F36" s="728"/>
      <c r="G36" s="728"/>
      <c r="H36" s="728"/>
      <c r="I36" s="624"/>
      <c r="J36" s="170"/>
    </row>
    <row r="37" spans="1:10" ht="23.25" customHeight="1">
      <c r="A37" s="157" t="s">
        <v>17</v>
      </c>
      <c r="B37" s="616" t="s">
        <v>18</v>
      </c>
      <c r="C37" s="157" t="s">
        <v>19</v>
      </c>
      <c r="D37" s="157" t="s">
        <v>13</v>
      </c>
      <c r="E37" s="157" t="s">
        <v>20</v>
      </c>
      <c r="F37" s="201" t="s">
        <v>21</v>
      </c>
      <c r="G37" s="201"/>
      <c r="H37" s="157" t="s">
        <v>22</v>
      </c>
      <c r="I37" s="622" t="s">
        <v>23</v>
      </c>
      <c r="J37" s="157" t="s">
        <v>24</v>
      </c>
    </row>
    <row r="38" spans="1:10" ht="15.75" customHeight="1">
      <c r="A38" s="157"/>
      <c r="B38" s="616"/>
      <c r="C38" s="157"/>
      <c r="D38" s="157"/>
      <c r="E38" s="157"/>
      <c r="F38" s="201" t="s">
        <v>25</v>
      </c>
      <c r="G38" s="201" t="s">
        <v>12</v>
      </c>
      <c r="H38" s="157"/>
      <c r="I38" s="622"/>
      <c r="J38" s="157"/>
    </row>
    <row r="39" spans="1:10" ht="23.25" customHeight="1">
      <c r="A39" s="157"/>
      <c r="B39" s="620" t="str">
        <f>'MEMORIAL DE CALCULO'!C30</f>
        <v xml:space="preserve">TOTAL DE BOTA FORA </v>
      </c>
      <c r="C39" s="157" t="s">
        <v>193</v>
      </c>
      <c r="D39" s="176">
        <f>QUANT!G60</f>
        <v>188.35599999999999</v>
      </c>
      <c r="E39" s="201" t="s">
        <v>4</v>
      </c>
      <c r="F39" s="201">
        <v>1.5</v>
      </c>
      <c r="G39" s="201" t="s">
        <v>27</v>
      </c>
      <c r="H39" s="161">
        <f>D39*F39</f>
        <v>282.53399999999999</v>
      </c>
      <c r="I39" s="623">
        <v>8</v>
      </c>
      <c r="J39" s="156">
        <f>H39*I39</f>
        <v>2260.2719999999999</v>
      </c>
    </row>
    <row r="40" spans="1:10" ht="23.25" customHeight="1">
      <c r="A40" s="201" t="s">
        <v>16</v>
      </c>
      <c r="B40" s="617"/>
      <c r="C40" s="157"/>
      <c r="D40" s="176"/>
      <c r="E40" s="201"/>
      <c r="F40" s="201"/>
      <c r="G40" s="201"/>
      <c r="H40" s="161"/>
      <c r="I40" s="623"/>
      <c r="J40" s="163">
        <f>J39</f>
        <v>2260.2719999999999</v>
      </c>
    </row>
    <row r="41" spans="1:10" ht="14.25" customHeight="1" thickBot="1">
      <c r="A41" s="162"/>
      <c r="B41" s="162"/>
      <c r="C41" s="162"/>
      <c r="D41" s="162"/>
      <c r="E41" s="162"/>
      <c r="F41" s="162"/>
      <c r="G41" s="162"/>
      <c r="H41" s="162"/>
      <c r="I41" s="256"/>
      <c r="J41" s="162"/>
    </row>
    <row r="42" spans="1:10" ht="23.25" customHeight="1" thickBot="1">
      <c r="A42" s="175" t="s">
        <v>197</v>
      </c>
      <c r="B42" s="175"/>
      <c r="C42" s="729" t="str">
        <f>C36</f>
        <v>BAIRRO: MAPIM</v>
      </c>
      <c r="D42" s="730"/>
      <c r="E42" s="730"/>
      <c r="F42" s="730"/>
      <c r="G42" s="730"/>
      <c r="H42" s="731"/>
      <c r="I42" s="256"/>
      <c r="J42" s="156"/>
    </row>
    <row r="43" spans="1:10" ht="23.25" customHeight="1">
      <c r="A43" s="157" t="s">
        <v>17</v>
      </c>
      <c r="B43" s="157" t="s">
        <v>18</v>
      </c>
      <c r="C43" s="157" t="s">
        <v>19</v>
      </c>
      <c r="D43" s="157" t="s">
        <v>13</v>
      </c>
      <c r="E43" s="157" t="s">
        <v>20</v>
      </c>
      <c r="F43" s="201" t="s">
        <v>21</v>
      </c>
      <c r="G43" s="201"/>
      <c r="H43" s="157" t="s">
        <v>22</v>
      </c>
      <c r="I43" s="254" t="s">
        <v>23</v>
      </c>
      <c r="J43" s="157" t="s">
        <v>24</v>
      </c>
    </row>
    <row r="44" spans="1:10" ht="14.25" customHeight="1">
      <c r="A44" s="157"/>
      <c r="B44" s="157"/>
      <c r="C44" s="157"/>
      <c r="D44" s="157"/>
      <c r="E44" s="157"/>
      <c r="F44" s="201" t="s">
        <v>25</v>
      </c>
      <c r="G44" s="201" t="s">
        <v>12</v>
      </c>
      <c r="H44" s="157"/>
      <c r="I44" s="254"/>
      <c r="J44" s="157"/>
    </row>
    <row r="45" spans="1:10" ht="23.25" customHeight="1">
      <c r="A45" s="157"/>
      <c r="B45" s="159" t="str">
        <f>B39</f>
        <v xml:space="preserve">TOTAL DE BOTA FORA </v>
      </c>
      <c r="C45" s="201" t="s">
        <v>26</v>
      </c>
      <c r="D45" s="176">
        <f>D39</f>
        <v>188.35599999999999</v>
      </c>
      <c r="E45" s="201" t="s">
        <v>4</v>
      </c>
      <c r="F45" s="201">
        <v>1.5</v>
      </c>
      <c r="G45" s="201" t="s">
        <v>27</v>
      </c>
      <c r="H45" s="161">
        <f>D45*F45</f>
        <v>282.53399999999999</v>
      </c>
      <c r="I45" s="255">
        <f>24.7-I7</f>
        <v>21.14</v>
      </c>
      <c r="J45" s="156">
        <f>H45*I45</f>
        <v>5972.7687599999999</v>
      </c>
    </row>
    <row r="46" spans="1:10" ht="23.25" customHeight="1">
      <c r="A46" s="201" t="s">
        <v>16</v>
      </c>
      <c r="B46" s="162"/>
      <c r="C46" s="162"/>
      <c r="D46" s="162"/>
      <c r="E46" s="162"/>
      <c r="F46" s="162"/>
      <c r="G46" s="162"/>
      <c r="H46" s="162"/>
      <c r="I46" s="256"/>
      <c r="J46" s="163">
        <f>J45</f>
        <v>5972.7687599999999</v>
      </c>
    </row>
    <row r="47" spans="1:10" ht="14.25" customHeight="1">
      <c r="A47" s="162"/>
      <c r="B47" s="162"/>
      <c r="C47" s="162"/>
      <c r="D47" s="162"/>
      <c r="E47" s="162"/>
      <c r="F47" s="162"/>
      <c r="G47" s="162"/>
      <c r="H47" s="162"/>
      <c r="I47" s="256"/>
      <c r="J47" s="162"/>
    </row>
  </sheetData>
  <customSheetViews>
    <customSheetView guid="{E8D46A29-8D28-49CA-936A-9705D639E1C7}" topLeftCell="A7">
      <selection activeCell="F28" sqref="F28:G28"/>
      <pageMargins left="0.78740157480314965" right="0.78740157480314965" top="0.98425196850393704" bottom="0.98425196850393704" header="0.51181102362204722" footer="0.51181102362204722"/>
      <printOptions horizontalCentered="1"/>
      <pageSetup scale="90" orientation="landscape" horizontalDpi="4294967293" r:id="rId1"/>
      <headerFooter alignWithMargins="0"/>
    </customSheetView>
  </customSheetViews>
  <mergeCells count="10">
    <mergeCell ref="A1:A2"/>
    <mergeCell ref="C4:H4"/>
    <mergeCell ref="B1:J2"/>
    <mergeCell ref="C42:H42"/>
    <mergeCell ref="C29:H29"/>
    <mergeCell ref="C35:J35"/>
    <mergeCell ref="C36:H36"/>
    <mergeCell ref="C10:H10"/>
    <mergeCell ref="C17:H17"/>
    <mergeCell ref="C23:H23"/>
  </mergeCells>
  <phoneticPr fontId="0" type="noConversion"/>
  <printOptions horizontalCentered="1"/>
  <pageMargins left="0.78740157480314965" right="0.78740157480314965" top="0.98425196850393704" bottom="0.59055118110236227" header="0.51181102362204722" footer="0.51181102362204722"/>
  <pageSetup paperSize="9" scale="70" orientation="landscape" horizontalDpi="4294967293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5"/>
  <dimension ref="A1:S38"/>
  <sheetViews>
    <sheetView zoomScale="90" zoomScaleNormal="90" workbookViewId="0">
      <selection sqref="A1:E3"/>
    </sheetView>
  </sheetViews>
  <sheetFormatPr defaultColWidth="9.140625" defaultRowHeight="12.75"/>
  <cols>
    <col min="1" max="1" width="5.85546875" style="44" customWidth="1"/>
    <col min="2" max="2" width="6.140625" style="44" customWidth="1"/>
    <col min="3" max="3" width="28.5703125" style="44" customWidth="1"/>
    <col min="4" max="4" width="9.28515625" style="44" customWidth="1"/>
    <col min="5" max="5" width="13.85546875" style="44" customWidth="1"/>
    <col min="6" max="17" width="6.7109375" style="44" customWidth="1"/>
    <col min="18" max="18" width="12.5703125" style="44" bestFit="1" customWidth="1"/>
    <col min="19" max="19" width="18.7109375" style="44" customWidth="1"/>
    <col min="20" max="16384" width="9.140625" style="44"/>
  </cols>
  <sheetData>
    <row r="1" spans="1:19" ht="12.75" customHeight="1">
      <c r="A1" s="743" t="s">
        <v>205</v>
      </c>
      <c r="B1" s="744"/>
      <c r="C1" s="744"/>
      <c r="D1" s="744"/>
      <c r="E1" s="744"/>
      <c r="F1" s="747" t="s">
        <v>42</v>
      </c>
      <c r="G1" s="747"/>
      <c r="H1" s="747"/>
      <c r="I1" s="747"/>
      <c r="J1" s="747"/>
      <c r="K1" s="747"/>
      <c r="L1" s="747"/>
      <c r="M1" s="747"/>
      <c r="N1" s="747"/>
      <c r="O1" s="747"/>
      <c r="P1" s="747"/>
      <c r="Q1" s="748"/>
    </row>
    <row r="2" spans="1:19" ht="12.75" customHeight="1">
      <c r="A2" s="745"/>
      <c r="B2" s="746"/>
      <c r="C2" s="746"/>
      <c r="D2" s="746"/>
      <c r="E2" s="746"/>
      <c r="F2" s="749"/>
      <c r="G2" s="749"/>
      <c r="H2" s="749"/>
      <c r="I2" s="749"/>
      <c r="J2" s="749"/>
      <c r="K2" s="749"/>
      <c r="L2" s="749"/>
      <c r="M2" s="749"/>
      <c r="N2" s="749"/>
      <c r="O2" s="749"/>
      <c r="P2" s="749"/>
      <c r="Q2" s="750"/>
    </row>
    <row r="3" spans="1:19" ht="12.75" customHeight="1">
      <c r="A3" s="745"/>
      <c r="B3" s="746"/>
      <c r="C3" s="746"/>
      <c r="D3" s="746"/>
      <c r="E3" s="746"/>
      <c r="F3" s="749"/>
      <c r="G3" s="749"/>
      <c r="H3" s="749"/>
      <c r="I3" s="749"/>
      <c r="J3" s="749"/>
      <c r="K3" s="749"/>
      <c r="L3" s="749"/>
      <c r="M3" s="749"/>
      <c r="N3" s="749"/>
      <c r="O3" s="749"/>
      <c r="P3" s="749"/>
      <c r="Q3" s="750"/>
    </row>
    <row r="4" spans="1:19" ht="18.75">
      <c r="A4" s="751" t="s">
        <v>655</v>
      </c>
      <c r="B4" s="752"/>
      <c r="C4" s="752"/>
      <c r="D4" s="752"/>
      <c r="E4" s="752"/>
      <c r="F4" s="752"/>
      <c r="G4" s="752"/>
      <c r="H4" s="752"/>
      <c r="I4" s="752"/>
      <c r="J4" s="752"/>
      <c r="K4" s="752"/>
      <c r="L4" s="752"/>
      <c r="M4" s="752"/>
      <c r="N4" s="752"/>
      <c r="O4" s="752"/>
      <c r="P4" s="752"/>
      <c r="Q4" s="753"/>
    </row>
    <row r="5" spans="1:19" ht="15.75">
      <c r="A5" s="754"/>
      <c r="B5" s="755"/>
      <c r="C5" s="755"/>
      <c r="D5" s="755"/>
      <c r="E5" s="755"/>
      <c r="F5" s="756" t="s">
        <v>126</v>
      </c>
      <c r="G5" s="756"/>
      <c r="H5" s="756"/>
      <c r="I5" s="756"/>
      <c r="J5" s="756"/>
      <c r="K5" s="756"/>
      <c r="L5" s="756"/>
      <c r="M5" s="756"/>
      <c r="N5" s="756"/>
      <c r="O5" s="756"/>
      <c r="P5" s="756"/>
      <c r="Q5" s="757"/>
    </row>
    <row r="6" spans="1:19">
      <c r="A6" s="635" t="s">
        <v>127</v>
      </c>
      <c r="B6" s="758" t="s">
        <v>128</v>
      </c>
      <c r="C6" s="758"/>
      <c r="D6" s="130" t="s">
        <v>129</v>
      </c>
      <c r="E6" s="130" t="s">
        <v>130</v>
      </c>
      <c r="F6" s="759">
        <v>30</v>
      </c>
      <c r="G6" s="759"/>
      <c r="H6" s="759"/>
      <c r="I6" s="759">
        <v>60</v>
      </c>
      <c r="J6" s="759"/>
      <c r="K6" s="759"/>
      <c r="L6" s="759">
        <v>90</v>
      </c>
      <c r="M6" s="759"/>
      <c r="N6" s="759"/>
      <c r="O6" s="759">
        <v>120</v>
      </c>
      <c r="P6" s="759"/>
      <c r="Q6" s="760"/>
    </row>
    <row r="7" spans="1:19">
      <c r="A7" s="761" t="str">
        <f>RESUMO!B9</f>
        <v>1.0</v>
      </c>
      <c r="B7" s="762" t="str">
        <f>RESUMO!C9</f>
        <v>SERVIÇOS PRELIMINARES</v>
      </c>
      <c r="C7" s="762"/>
      <c r="D7" s="763">
        <f>E7/$E$34*100</f>
        <v>5.1928666435273136</v>
      </c>
      <c r="E7" s="764">
        <f>RESUMO!D9</f>
        <v>37591.360000000001</v>
      </c>
      <c r="F7" s="735">
        <f>$E$7*F9</f>
        <v>16916.112000000001</v>
      </c>
      <c r="G7" s="735"/>
      <c r="H7" s="735"/>
      <c r="I7" s="735">
        <f>$E$7*I9</f>
        <v>11277.407999999999</v>
      </c>
      <c r="J7" s="735"/>
      <c r="K7" s="735"/>
      <c r="L7" s="735">
        <f>$E$7*L9</f>
        <v>5638.7039999999997</v>
      </c>
      <c r="M7" s="735"/>
      <c r="N7" s="735"/>
      <c r="O7" s="735">
        <f>$E$7*O9</f>
        <v>3759.1360000000004</v>
      </c>
      <c r="P7" s="735"/>
      <c r="Q7" s="736"/>
      <c r="R7" s="180">
        <f>SUM(F7:Q7)</f>
        <v>37591.360000000001</v>
      </c>
      <c r="S7" s="180">
        <f>R7-E7</f>
        <v>0</v>
      </c>
    </row>
    <row r="8" spans="1:19">
      <c r="A8" s="761"/>
      <c r="B8" s="762"/>
      <c r="C8" s="762"/>
      <c r="D8" s="763"/>
      <c r="E8" s="764"/>
      <c r="F8" s="765"/>
      <c r="G8" s="765"/>
      <c r="H8" s="765"/>
      <c r="I8" s="780"/>
      <c r="J8" s="781"/>
      <c r="K8" s="782"/>
      <c r="L8" s="780"/>
      <c r="M8" s="781"/>
      <c r="N8" s="782"/>
      <c r="O8" s="780"/>
      <c r="P8" s="781"/>
      <c r="Q8" s="783"/>
    </row>
    <row r="9" spans="1:19">
      <c r="A9" s="761"/>
      <c r="B9" s="762"/>
      <c r="C9" s="762"/>
      <c r="D9" s="763"/>
      <c r="E9" s="764"/>
      <c r="F9" s="741">
        <v>0.45</v>
      </c>
      <c r="G9" s="741"/>
      <c r="H9" s="741"/>
      <c r="I9" s="741">
        <v>0.3</v>
      </c>
      <c r="J9" s="741"/>
      <c r="K9" s="741"/>
      <c r="L9" s="741">
        <v>0.15</v>
      </c>
      <c r="M9" s="741"/>
      <c r="N9" s="741"/>
      <c r="O9" s="741">
        <v>0.1</v>
      </c>
      <c r="P9" s="741"/>
      <c r="Q9" s="742"/>
      <c r="R9" s="181">
        <f>SUM(F9:Q9)</f>
        <v>1</v>
      </c>
    </row>
    <row r="10" spans="1:19">
      <c r="A10" s="761" t="str">
        <f>RESUMO!B12</f>
        <v>2.0</v>
      </c>
      <c r="B10" s="762" t="str">
        <f>RESUMO!C12</f>
        <v>ADMINISTRAÇÃO LOCAL</v>
      </c>
      <c r="C10" s="762"/>
      <c r="D10" s="763">
        <f>E10/$E$34*100</f>
        <v>6.936018102515332</v>
      </c>
      <c r="E10" s="764">
        <f>RESUMO!D12</f>
        <v>50210.1</v>
      </c>
      <c r="F10" s="735">
        <f>$E$10*F12</f>
        <v>8786.7674999999999</v>
      </c>
      <c r="G10" s="735"/>
      <c r="H10" s="735"/>
      <c r="I10" s="735">
        <f>$E$10*I12</f>
        <v>8284.6664999999994</v>
      </c>
      <c r="J10" s="735"/>
      <c r="K10" s="735"/>
      <c r="L10" s="735">
        <f>$E$10*L12</f>
        <v>15063.029999999999</v>
      </c>
      <c r="M10" s="735"/>
      <c r="N10" s="735"/>
      <c r="O10" s="735">
        <f>$E$10*O12</f>
        <v>18075.635999999999</v>
      </c>
      <c r="P10" s="735"/>
      <c r="Q10" s="736"/>
      <c r="R10" s="180">
        <f>SUM(F10:Q10)</f>
        <v>50210.1</v>
      </c>
      <c r="S10" s="180">
        <f>R10-E10</f>
        <v>0</v>
      </c>
    </row>
    <row r="11" spans="1:19">
      <c r="A11" s="761"/>
      <c r="B11" s="762"/>
      <c r="C11" s="762"/>
      <c r="D11" s="763"/>
      <c r="E11" s="764"/>
      <c r="F11" s="765"/>
      <c r="G11" s="765"/>
      <c r="H11" s="765"/>
      <c r="I11" s="780"/>
      <c r="J11" s="781"/>
      <c r="K11" s="782"/>
      <c r="L11" s="780"/>
      <c r="M11" s="781"/>
      <c r="N11" s="782"/>
      <c r="O11" s="780"/>
      <c r="P11" s="781"/>
      <c r="Q11" s="783"/>
    </row>
    <row r="12" spans="1:19">
      <c r="A12" s="761"/>
      <c r="B12" s="762"/>
      <c r="C12" s="762"/>
      <c r="D12" s="763"/>
      <c r="E12" s="764"/>
      <c r="F12" s="741">
        <v>0.17499999999999999</v>
      </c>
      <c r="G12" s="741"/>
      <c r="H12" s="741"/>
      <c r="I12" s="741">
        <v>0.16500000000000001</v>
      </c>
      <c r="J12" s="741"/>
      <c r="K12" s="741"/>
      <c r="L12" s="741">
        <v>0.3</v>
      </c>
      <c r="M12" s="741"/>
      <c r="N12" s="741"/>
      <c r="O12" s="741">
        <v>0.36</v>
      </c>
      <c r="P12" s="741"/>
      <c r="Q12" s="742"/>
      <c r="R12" s="181">
        <f>SUM(F12:Q12)</f>
        <v>0.99999999999999989</v>
      </c>
    </row>
    <row r="13" spans="1:19" ht="12.75" customHeight="1">
      <c r="A13" s="761" t="str">
        <f>RESUMO!B15</f>
        <v>3.0</v>
      </c>
      <c r="B13" s="766" t="str">
        <f>RESUMO!C15</f>
        <v>ENSAIOS TECNOLÓGICOS DE SOLO E ASFALTO</v>
      </c>
      <c r="C13" s="766"/>
      <c r="D13" s="763">
        <f>E13/$E$34*100</f>
        <v>1.1847084879314493</v>
      </c>
      <c r="E13" s="764">
        <f>RESUMO!D15</f>
        <v>8576.15</v>
      </c>
      <c r="F13" s="735">
        <f>$E$13*F15</f>
        <v>857.61500000000001</v>
      </c>
      <c r="G13" s="735"/>
      <c r="H13" s="735"/>
      <c r="I13" s="735">
        <f>$E$13*I15</f>
        <v>3859.2674999999999</v>
      </c>
      <c r="J13" s="735"/>
      <c r="K13" s="735"/>
      <c r="L13" s="735">
        <f>$E$13*L15</f>
        <v>3859.2674999999999</v>
      </c>
      <c r="M13" s="735"/>
      <c r="N13" s="735"/>
      <c r="O13" s="735"/>
      <c r="P13" s="735"/>
      <c r="Q13" s="736"/>
      <c r="R13" s="180">
        <f>SUM(F13:Q13)</f>
        <v>8576.15</v>
      </c>
      <c r="S13" s="180">
        <f>R13-E13</f>
        <v>0</v>
      </c>
    </row>
    <row r="14" spans="1:19">
      <c r="A14" s="761"/>
      <c r="B14" s="766"/>
      <c r="C14" s="766"/>
      <c r="D14" s="763"/>
      <c r="E14" s="764"/>
      <c r="F14" s="765"/>
      <c r="G14" s="765"/>
      <c r="H14" s="765"/>
      <c r="I14" s="780"/>
      <c r="J14" s="781"/>
      <c r="K14" s="782"/>
      <c r="L14" s="780"/>
      <c r="M14" s="781"/>
      <c r="N14" s="782"/>
      <c r="O14" s="786"/>
      <c r="P14" s="787"/>
      <c r="Q14" s="788"/>
    </row>
    <row r="15" spans="1:19">
      <c r="A15" s="761"/>
      <c r="B15" s="766"/>
      <c r="C15" s="766"/>
      <c r="D15" s="763"/>
      <c r="E15" s="764"/>
      <c r="F15" s="741">
        <v>0.1</v>
      </c>
      <c r="G15" s="741"/>
      <c r="H15" s="741"/>
      <c r="I15" s="741">
        <v>0.45</v>
      </c>
      <c r="J15" s="741"/>
      <c r="K15" s="741"/>
      <c r="L15" s="741">
        <v>0.45</v>
      </c>
      <c r="M15" s="741"/>
      <c r="N15" s="741"/>
      <c r="O15" s="741"/>
      <c r="P15" s="741"/>
      <c r="Q15" s="742"/>
      <c r="R15" s="181">
        <f>SUM(F15:Q15)</f>
        <v>1</v>
      </c>
    </row>
    <row r="16" spans="1:19">
      <c r="A16" s="761" t="str">
        <f>RESUMO!B18</f>
        <v>4.0</v>
      </c>
      <c r="B16" s="762" t="str">
        <f>RESUMO!C18</f>
        <v>TERRAPLENAGEM</v>
      </c>
      <c r="C16" s="762"/>
      <c r="D16" s="763">
        <f>E16/$E$34*100</f>
        <v>9.36463078755407</v>
      </c>
      <c r="E16" s="764">
        <f>RESUMO!D18</f>
        <v>67790.92</v>
      </c>
      <c r="F16" s="735">
        <f>$E$16*F18</f>
        <v>6779.0920000000006</v>
      </c>
      <c r="G16" s="735"/>
      <c r="H16" s="735"/>
      <c r="I16" s="735">
        <f>$E$16*I18</f>
        <v>33895.46</v>
      </c>
      <c r="J16" s="735"/>
      <c r="K16" s="735"/>
      <c r="L16" s="735">
        <f>$E$16*L18</f>
        <v>27116.368000000002</v>
      </c>
      <c r="M16" s="735"/>
      <c r="N16" s="735"/>
      <c r="O16" s="735"/>
      <c r="P16" s="735"/>
      <c r="Q16" s="736"/>
      <c r="R16" s="180">
        <f>SUM(F16:Q16)</f>
        <v>67790.92</v>
      </c>
    </row>
    <row r="17" spans="1:19">
      <c r="A17" s="761"/>
      <c r="B17" s="762"/>
      <c r="C17" s="762"/>
      <c r="D17" s="763"/>
      <c r="E17" s="764"/>
      <c r="F17" s="765"/>
      <c r="G17" s="765"/>
      <c r="H17" s="765"/>
      <c r="I17" s="780"/>
      <c r="J17" s="781"/>
      <c r="K17" s="782"/>
      <c r="L17" s="780"/>
      <c r="M17" s="781"/>
      <c r="N17" s="782"/>
      <c r="O17" s="786"/>
      <c r="P17" s="787"/>
      <c r="Q17" s="788"/>
    </row>
    <row r="18" spans="1:19">
      <c r="A18" s="761"/>
      <c r="B18" s="762"/>
      <c r="C18" s="762"/>
      <c r="D18" s="763"/>
      <c r="E18" s="764"/>
      <c r="F18" s="741">
        <v>0.1</v>
      </c>
      <c r="G18" s="741"/>
      <c r="H18" s="741"/>
      <c r="I18" s="741">
        <v>0.5</v>
      </c>
      <c r="J18" s="741"/>
      <c r="K18" s="741"/>
      <c r="L18" s="741">
        <v>0.4</v>
      </c>
      <c r="M18" s="741"/>
      <c r="N18" s="741"/>
      <c r="O18" s="741"/>
      <c r="P18" s="741"/>
      <c r="Q18" s="742"/>
      <c r="R18" s="181">
        <f>SUM(F18:Q18)</f>
        <v>1</v>
      </c>
    </row>
    <row r="19" spans="1:19">
      <c r="A19" s="761" t="str">
        <f>RESUMO!B21</f>
        <v>5.0</v>
      </c>
      <c r="B19" s="762" t="str">
        <f>RESUMO!C21</f>
        <v>PAVIMENTAÇÃO</v>
      </c>
      <c r="C19" s="762"/>
      <c r="D19" s="763">
        <f>E19/$E$34*100</f>
        <v>39.318803428886447</v>
      </c>
      <c r="E19" s="764">
        <f>RESUMO!D21</f>
        <v>284630.31999999995</v>
      </c>
      <c r="F19" s="735">
        <f>$E$19*F21</f>
        <v>14231.515999999998</v>
      </c>
      <c r="G19" s="735"/>
      <c r="H19" s="735"/>
      <c r="I19" s="735">
        <f>$E$19*I21</f>
        <v>71157.579999999987</v>
      </c>
      <c r="J19" s="735"/>
      <c r="K19" s="735"/>
      <c r="L19" s="735">
        <f>$E$19*L21</f>
        <v>99620.611999999979</v>
      </c>
      <c r="M19" s="735"/>
      <c r="N19" s="735"/>
      <c r="O19" s="735">
        <f>$E$19*O21</f>
        <v>99620.611999999979</v>
      </c>
      <c r="P19" s="735"/>
      <c r="Q19" s="736"/>
      <c r="R19" s="180">
        <f>SUM(F19:Q19)</f>
        <v>284630.31999999995</v>
      </c>
      <c r="S19" s="180">
        <f>R19-E19</f>
        <v>0</v>
      </c>
    </row>
    <row r="20" spans="1:19">
      <c r="A20" s="761"/>
      <c r="B20" s="762"/>
      <c r="C20" s="762"/>
      <c r="D20" s="763"/>
      <c r="E20" s="764"/>
      <c r="F20" s="765"/>
      <c r="G20" s="765"/>
      <c r="H20" s="765"/>
      <c r="I20" s="780"/>
      <c r="J20" s="781"/>
      <c r="K20" s="782"/>
      <c r="L20" s="780"/>
      <c r="M20" s="781"/>
      <c r="N20" s="782"/>
      <c r="O20" s="780"/>
      <c r="P20" s="781"/>
      <c r="Q20" s="783"/>
    </row>
    <row r="21" spans="1:19">
      <c r="A21" s="761"/>
      <c r="B21" s="762"/>
      <c r="C21" s="762"/>
      <c r="D21" s="763"/>
      <c r="E21" s="764"/>
      <c r="F21" s="741">
        <v>0.05</v>
      </c>
      <c r="G21" s="741"/>
      <c r="H21" s="741"/>
      <c r="I21" s="741">
        <v>0.25</v>
      </c>
      <c r="J21" s="741"/>
      <c r="K21" s="741"/>
      <c r="L21" s="741">
        <v>0.35</v>
      </c>
      <c r="M21" s="741"/>
      <c r="N21" s="741"/>
      <c r="O21" s="741">
        <v>0.35</v>
      </c>
      <c r="P21" s="741"/>
      <c r="Q21" s="742"/>
      <c r="R21" s="181">
        <f>SUM(F21:Q21)</f>
        <v>0.99999999999999989</v>
      </c>
    </row>
    <row r="22" spans="1:19">
      <c r="A22" s="761" t="str">
        <f>RESUMO!B24</f>
        <v>6.0</v>
      </c>
      <c r="B22" s="762" t="str">
        <f>RESUMO!C24</f>
        <v>SINALIZAÇÃO HORIZONTAL/VERTICAL</v>
      </c>
      <c r="C22" s="762"/>
      <c r="D22" s="769">
        <f>E22/$E$34*100</f>
        <v>1.4115493961614958</v>
      </c>
      <c r="E22" s="764">
        <f>RESUMO!D24</f>
        <v>10218.26</v>
      </c>
      <c r="F22" s="737"/>
      <c r="G22" s="737"/>
      <c r="H22" s="737"/>
      <c r="I22" s="735"/>
      <c r="J22" s="735"/>
      <c r="K22" s="735"/>
      <c r="L22" s="735">
        <f>$E$22*L24</f>
        <v>2043.652</v>
      </c>
      <c r="M22" s="735"/>
      <c r="N22" s="735"/>
      <c r="O22" s="735">
        <f>$E$22*O24</f>
        <v>8174.6080000000002</v>
      </c>
      <c r="P22" s="735"/>
      <c r="Q22" s="736"/>
      <c r="R22" s="180">
        <f>SUM(F22:Q22)</f>
        <v>10218.26</v>
      </c>
      <c r="S22" s="180">
        <f>R22-E22</f>
        <v>0</v>
      </c>
    </row>
    <row r="23" spans="1:19">
      <c r="A23" s="761"/>
      <c r="B23" s="762"/>
      <c r="C23" s="762"/>
      <c r="D23" s="770"/>
      <c r="E23" s="764"/>
      <c r="F23" s="738"/>
      <c r="G23" s="739"/>
      <c r="H23" s="740"/>
      <c r="I23" s="789"/>
      <c r="J23" s="790"/>
      <c r="K23" s="791"/>
      <c r="L23" s="780"/>
      <c r="M23" s="781"/>
      <c r="N23" s="782"/>
      <c r="O23" s="780"/>
      <c r="P23" s="781"/>
      <c r="Q23" s="783"/>
    </row>
    <row r="24" spans="1:19">
      <c r="A24" s="761"/>
      <c r="B24" s="762"/>
      <c r="C24" s="762"/>
      <c r="D24" s="771"/>
      <c r="E24" s="764"/>
      <c r="F24" s="737"/>
      <c r="G24" s="737"/>
      <c r="H24" s="737"/>
      <c r="I24" s="767"/>
      <c r="J24" s="767"/>
      <c r="K24" s="767"/>
      <c r="L24" s="767">
        <v>0.2</v>
      </c>
      <c r="M24" s="767"/>
      <c r="N24" s="767"/>
      <c r="O24" s="767">
        <v>0.8</v>
      </c>
      <c r="P24" s="767"/>
      <c r="Q24" s="768"/>
      <c r="R24" s="181">
        <f>SUM(F24:Q24)</f>
        <v>1</v>
      </c>
    </row>
    <row r="25" spans="1:19">
      <c r="A25" s="761" t="str">
        <f>RESUMO!B27</f>
        <v>7.0</v>
      </c>
      <c r="B25" s="762" t="str">
        <f>RESUMO!C28</f>
        <v>OBRAS COMPLEMENTARES</v>
      </c>
      <c r="C25" s="762"/>
      <c r="D25" s="763">
        <f>E25/$E$34*100</f>
        <v>10.018703865936224</v>
      </c>
      <c r="E25" s="764">
        <f>RESUMO!D27</f>
        <v>72525.78</v>
      </c>
      <c r="F25" s="735"/>
      <c r="G25" s="735"/>
      <c r="H25" s="735"/>
      <c r="I25" s="735">
        <f t="shared" ref="I25" si="0">$E$25*I27</f>
        <v>14505.156000000001</v>
      </c>
      <c r="J25" s="735"/>
      <c r="K25" s="735"/>
      <c r="L25" s="735">
        <f t="shared" ref="L25" si="1">$E$25*L27</f>
        <v>29010.312000000002</v>
      </c>
      <c r="M25" s="735"/>
      <c r="N25" s="735"/>
      <c r="O25" s="735">
        <f>$E$25*O27</f>
        <v>29010.312000000002</v>
      </c>
      <c r="P25" s="735"/>
      <c r="Q25" s="736"/>
      <c r="R25" s="180">
        <f>SUM(F25:Q25)</f>
        <v>72525.78</v>
      </c>
      <c r="S25" s="180">
        <f>R25-E25</f>
        <v>0</v>
      </c>
    </row>
    <row r="26" spans="1:19">
      <c r="A26" s="761"/>
      <c r="B26" s="762"/>
      <c r="C26" s="762"/>
      <c r="D26" s="763"/>
      <c r="E26" s="764"/>
      <c r="F26" s="738"/>
      <c r="G26" s="739"/>
      <c r="H26" s="740"/>
      <c r="I26" s="780"/>
      <c r="J26" s="781"/>
      <c r="K26" s="782"/>
      <c r="L26" s="780"/>
      <c r="M26" s="781"/>
      <c r="N26" s="782"/>
      <c r="O26" s="780"/>
      <c r="P26" s="781"/>
      <c r="Q26" s="783"/>
    </row>
    <row r="27" spans="1:19">
      <c r="A27" s="761"/>
      <c r="B27" s="762"/>
      <c r="C27" s="762"/>
      <c r="D27" s="763"/>
      <c r="E27" s="764"/>
      <c r="F27" s="737"/>
      <c r="G27" s="737"/>
      <c r="H27" s="737"/>
      <c r="I27" s="767">
        <v>0.2</v>
      </c>
      <c r="J27" s="767"/>
      <c r="K27" s="767"/>
      <c r="L27" s="767">
        <v>0.4</v>
      </c>
      <c r="M27" s="767"/>
      <c r="N27" s="767"/>
      <c r="O27" s="767">
        <v>0.4</v>
      </c>
      <c r="P27" s="767"/>
      <c r="Q27" s="768"/>
      <c r="R27" s="181">
        <f>SUM(F27:Q27)</f>
        <v>1</v>
      </c>
    </row>
    <row r="28" spans="1:19">
      <c r="A28" s="761" t="str">
        <f>RESUMO!B30</f>
        <v>8.0</v>
      </c>
      <c r="B28" s="762" t="str">
        <f>RESUMO!C30</f>
        <v>DRENAGEM</v>
      </c>
      <c r="C28" s="762"/>
      <c r="D28" s="763">
        <f>E28/$E$34*100</f>
        <v>3.9631494139649655</v>
      </c>
      <c r="E28" s="764">
        <f>RESUMO!D30</f>
        <v>28689.39</v>
      </c>
      <c r="F28" s="737"/>
      <c r="G28" s="737"/>
      <c r="H28" s="737"/>
      <c r="I28" s="735">
        <f>$E$28*I30</f>
        <v>8606.8169999999991</v>
      </c>
      <c r="J28" s="735"/>
      <c r="K28" s="735"/>
      <c r="L28" s="735">
        <f>$E$28*L30</f>
        <v>14344.695</v>
      </c>
      <c r="M28" s="735"/>
      <c r="N28" s="735"/>
      <c r="O28" s="735">
        <f>$E$28*O30</f>
        <v>5737.8780000000006</v>
      </c>
      <c r="P28" s="735"/>
      <c r="Q28" s="736"/>
      <c r="R28" s="180">
        <f>SUM(F28:Q28)</f>
        <v>28689.39</v>
      </c>
      <c r="S28" s="180">
        <f>R28-E28</f>
        <v>0</v>
      </c>
    </row>
    <row r="29" spans="1:19">
      <c r="A29" s="761"/>
      <c r="B29" s="762"/>
      <c r="C29" s="762"/>
      <c r="D29" s="763"/>
      <c r="E29" s="764"/>
      <c r="F29" s="738"/>
      <c r="G29" s="739"/>
      <c r="H29" s="740"/>
      <c r="I29" s="780"/>
      <c r="J29" s="781"/>
      <c r="K29" s="782"/>
      <c r="L29" s="780"/>
      <c r="M29" s="781"/>
      <c r="N29" s="782"/>
      <c r="O29" s="780"/>
      <c r="P29" s="781"/>
      <c r="Q29" s="783"/>
    </row>
    <row r="30" spans="1:19">
      <c r="A30" s="761"/>
      <c r="B30" s="762"/>
      <c r="C30" s="762"/>
      <c r="D30" s="763"/>
      <c r="E30" s="764"/>
      <c r="F30" s="737"/>
      <c r="G30" s="737"/>
      <c r="H30" s="737"/>
      <c r="I30" s="767">
        <v>0.3</v>
      </c>
      <c r="J30" s="767"/>
      <c r="K30" s="767"/>
      <c r="L30" s="767">
        <v>0.5</v>
      </c>
      <c r="M30" s="767"/>
      <c r="N30" s="767"/>
      <c r="O30" s="767">
        <v>0.2</v>
      </c>
      <c r="P30" s="767"/>
      <c r="Q30" s="768"/>
      <c r="R30" s="181">
        <f>SUM(F30:Q30)</f>
        <v>1</v>
      </c>
    </row>
    <row r="31" spans="1:19" ht="12.75" customHeight="1">
      <c r="A31" s="761" t="str">
        <f>RESUMO!B33</f>
        <v>9.0</v>
      </c>
      <c r="B31" s="766" t="str">
        <f>RESUMO!C33</f>
        <v>ÓRGÃOS ACESSÓRIOS</v>
      </c>
      <c r="C31" s="766"/>
      <c r="D31" s="763">
        <f>E31/$E$34*100</f>
        <v>22.609569873522702</v>
      </c>
      <c r="E31" s="764">
        <f>RESUMO!D33</f>
        <v>163671.54</v>
      </c>
      <c r="F31" s="737"/>
      <c r="G31" s="737"/>
      <c r="H31" s="737"/>
      <c r="I31" s="735">
        <f>$E$31*I33</f>
        <v>49101.462</v>
      </c>
      <c r="J31" s="735"/>
      <c r="K31" s="735"/>
      <c r="L31" s="735">
        <f>$E$31*L33</f>
        <v>65468.616000000009</v>
      </c>
      <c r="M31" s="735"/>
      <c r="N31" s="735"/>
      <c r="O31" s="735">
        <f>$E$31*O33</f>
        <v>49101.462</v>
      </c>
      <c r="P31" s="735"/>
      <c r="Q31" s="736"/>
      <c r="R31" s="180">
        <f>SUM(F31:Q31)</f>
        <v>163671.54</v>
      </c>
      <c r="S31" s="180">
        <f>R31-E31</f>
        <v>0</v>
      </c>
    </row>
    <row r="32" spans="1:19">
      <c r="A32" s="761"/>
      <c r="B32" s="766"/>
      <c r="C32" s="766"/>
      <c r="D32" s="763"/>
      <c r="E32" s="764"/>
      <c r="F32" s="738"/>
      <c r="G32" s="739"/>
      <c r="H32" s="740"/>
      <c r="I32" s="780"/>
      <c r="J32" s="781"/>
      <c r="K32" s="782"/>
      <c r="L32" s="780"/>
      <c r="M32" s="781"/>
      <c r="N32" s="782"/>
      <c r="O32" s="780"/>
      <c r="P32" s="781"/>
      <c r="Q32" s="783"/>
    </row>
    <row r="33" spans="1:19">
      <c r="A33" s="761"/>
      <c r="B33" s="766"/>
      <c r="C33" s="766"/>
      <c r="D33" s="763"/>
      <c r="E33" s="764"/>
      <c r="F33" s="737"/>
      <c r="G33" s="737"/>
      <c r="H33" s="737"/>
      <c r="I33" s="767">
        <v>0.3</v>
      </c>
      <c r="J33" s="767"/>
      <c r="K33" s="767"/>
      <c r="L33" s="767">
        <v>0.4</v>
      </c>
      <c r="M33" s="767"/>
      <c r="N33" s="767"/>
      <c r="O33" s="767">
        <v>0.3</v>
      </c>
      <c r="P33" s="767"/>
      <c r="Q33" s="768"/>
      <c r="R33" s="181">
        <f>SUM(F33:Q33)</f>
        <v>1</v>
      </c>
    </row>
    <row r="34" spans="1:19">
      <c r="A34" s="761" t="s">
        <v>131</v>
      </c>
      <c r="B34" s="759"/>
      <c r="C34" s="759"/>
      <c r="D34" s="182">
        <f>SUM(D7:D33)</f>
        <v>100</v>
      </c>
      <c r="E34" s="183">
        <f>E7+E10+E13+E16+E19+E22+E25+E28+E31</f>
        <v>723903.82</v>
      </c>
      <c r="F34" s="784">
        <f>F35/$E$34</f>
        <v>6.5714672565203483E-2</v>
      </c>
      <c r="G34" s="784"/>
      <c r="H34" s="784"/>
      <c r="I34" s="784">
        <f>I35/$E$34</f>
        <v>0.27722994609974566</v>
      </c>
      <c r="J34" s="784"/>
      <c r="K34" s="784"/>
      <c r="L34" s="784">
        <f>L35/$E$34</f>
        <v>0.36215481843983088</v>
      </c>
      <c r="M34" s="784"/>
      <c r="N34" s="784"/>
      <c r="O34" s="784">
        <f>O35/$E$34</f>
        <v>0.29490056289521993</v>
      </c>
      <c r="P34" s="784"/>
      <c r="Q34" s="785"/>
      <c r="R34" s="180">
        <f>SUM(F34:Q34)</f>
        <v>1</v>
      </c>
      <c r="S34" s="180">
        <f>SUM(R31+R28+R25+R22+R19+R13+R10+R7+R16)</f>
        <v>723903.82</v>
      </c>
    </row>
    <row r="35" spans="1:19">
      <c r="A35" s="761" t="s">
        <v>132</v>
      </c>
      <c r="B35" s="759"/>
      <c r="C35" s="759"/>
      <c r="D35" s="774" t="s">
        <v>133</v>
      </c>
      <c r="E35" s="774"/>
      <c r="F35" s="775">
        <f>F7+F10+F13+F16+F19+F22+F25+F28+F31</f>
        <v>47571.102500000001</v>
      </c>
      <c r="G35" s="775"/>
      <c r="H35" s="775"/>
      <c r="I35" s="775">
        <f>I7+I10+I13+I16+I19+I22+I25+I28+I31</f>
        <v>200687.81699999998</v>
      </c>
      <c r="J35" s="775"/>
      <c r="K35" s="775"/>
      <c r="L35" s="775">
        <f>L7+L10+L13+L16+L19+L22+L25+L28+L31</f>
        <v>262165.25650000002</v>
      </c>
      <c r="M35" s="775"/>
      <c r="N35" s="775"/>
      <c r="O35" s="775">
        <f>O7+O10+O13+O16+O19+O22+O25+O28+O31</f>
        <v>213479.64399999997</v>
      </c>
      <c r="P35" s="775"/>
      <c r="Q35" s="776"/>
      <c r="R35" s="180">
        <f>SUM(F35:Q35)</f>
        <v>723903.82</v>
      </c>
    </row>
    <row r="36" spans="1:19" ht="13.5" thickBot="1">
      <c r="A36" s="772"/>
      <c r="B36" s="773"/>
      <c r="C36" s="773"/>
      <c r="D36" s="777" t="s">
        <v>134</v>
      </c>
      <c r="E36" s="777"/>
      <c r="F36" s="778">
        <f>F35</f>
        <v>47571.102500000001</v>
      </c>
      <c r="G36" s="778"/>
      <c r="H36" s="778"/>
      <c r="I36" s="778">
        <f>F36++I35</f>
        <v>248258.91949999999</v>
      </c>
      <c r="J36" s="778"/>
      <c r="K36" s="778"/>
      <c r="L36" s="778">
        <f>I36++L35</f>
        <v>510424.17599999998</v>
      </c>
      <c r="M36" s="778"/>
      <c r="N36" s="778"/>
      <c r="O36" s="778">
        <f>L36++O35</f>
        <v>723903.82</v>
      </c>
      <c r="P36" s="778"/>
      <c r="Q36" s="779"/>
      <c r="S36" s="180">
        <f>S34-RESUMO!D37</f>
        <v>0</v>
      </c>
    </row>
    <row r="38" spans="1:19">
      <c r="E38" s="184">
        <f>SUM(E7:E33)</f>
        <v>723903.82</v>
      </c>
      <c r="S38" s="185"/>
    </row>
  </sheetData>
  <mergeCells count="170">
    <mergeCell ref="L23:N23"/>
    <mergeCell ref="I23:K23"/>
    <mergeCell ref="O23:Q23"/>
    <mergeCell ref="I26:K26"/>
    <mergeCell ref="L8:N8"/>
    <mergeCell ref="O8:Q8"/>
    <mergeCell ref="O11:Q11"/>
    <mergeCell ref="L11:N11"/>
    <mergeCell ref="I14:K14"/>
    <mergeCell ref="L14:N14"/>
    <mergeCell ref="O14:Q14"/>
    <mergeCell ref="O17:Q17"/>
    <mergeCell ref="L17:N17"/>
    <mergeCell ref="I17:K17"/>
    <mergeCell ref="A34:C34"/>
    <mergeCell ref="F34:H34"/>
    <mergeCell ref="I34:K34"/>
    <mergeCell ref="L34:N34"/>
    <mergeCell ref="O34:Q34"/>
    <mergeCell ref="A31:A33"/>
    <mergeCell ref="B31:C33"/>
    <mergeCell ref="D31:D33"/>
    <mergeCell ref="E31:E33"/>
    <mergeCell ref="F33:H33"/>
    <mergeCell ref="I33:K33"/>
    <mergeCell ref="L33:N33"/>
    <mergeCell ref="O33:Q33"/>
    <mergeCell ref="O32:Q32"/>
    <mergeCell ref="I32:K32"/>
    <mergeCell ref="L32:N32"/>
    <mergeCell ref="F32:H32"/>
    <mergeCell ref="A35:C36"/>
    <mergeCell ref="D35:E35"/>
    <mergeCell ref="F35:H35"/>
    <mergeCell ref="I35:K35"/>
    <mergeCell ref="L35:N35"/>
    <mergeCell ref="O35:Q35"/>
    <mergeCell ref="D36:E36"/>
    <mergeCell ref="F36:H36"/>
    <mergeCell ref="I36:K36"/>
    <mergeCell ref="L36:N36"/>
    <mergeCell ref="O36:Q36"/>
    <mergeCell ref="E22:E24"/>
    <mergeCell ref="A25:A27"/>
    <mergeCell ref="B25:C27"/>
    <mergeCell ref="A28:A30"/>
    <mergeCell ref="B28:C30"/>
    <mergeCell ref="D28:D30"/>
    <mergeCell ref="E28:E30"/>
    <mergeCell ref="D22:D24"/>
    <mergeCell ref="D25:D27"/>
    <mergeCell ref="A22:A24"/>
    <mergeCell ref="B22:C24"/>
    <mergeCell ref="E25:E27"/>
    <mergeCell ref="O16:Q16"/>
    <mergeCell ref="I16:K16"/>
    <mergeCell ref="F22:H22"/>
    <mergeCell ref="F27:H27"/>
    <mergeCell ref="I27:K27"/>
    <mergeCell ref="L27:N27"/>
    <mergeCell ref="O27:Q27"/>
    <mergeCell ref="F31:H31"/>
    <mergeCell ref="I31:K31"/>
    <mergeCell ref="L31:N31"/>
    <mergeCell ref="O31:Q31"/>
    <mergeCell ref="I24:K24"/>
    <mergeCell ref="F25:H25"/>
    <mergeCell ref="I25:K25"/>
    <mergeCell ref="F24:H24"/>
    <mergeCell ref="L24:N24"/>
    <mergeCell ref="I22:K22"/>
    <mergeCell ref="F23:H23"/>
    <mergeCell ref="F30:H30"/>
    <mergeCell ref="I30:K30"/>
    <mergeCell ref="L30:N30"/>
    <mergeCell ref="O30:Q30"/>
    <mergeCell ref="L25:N25"/>
    <mergeCell ref="O25:Q25"/>
    <mergeCell ref="A13:A15"/>
    <mergeCell ref="B13:C15"/>
    <mergeCell ref="D13:D15"/>
    <mergeCell ref="E13:E15"/>
    <mergeCell ref="F13:H13"/>
    <mergeCell ref="L13:N13"/>
    <mergeCell ref="I13:K13"/>
    <mergeCell ref="F21:H21"/>
    <mergeCell ref="I21:K21"/>
    <mergeCell ref="L21:N21"/>
    <mergeCell ref="L19:N19"/>
    <mergeCell ref="A16:A18"/>
    <mergeCell ref="B16:C18"/>
    <mergeCell ref="D16:D18"/>
    <mergeCell ref="E16:E18"/>
    <mergeCell ref="F16:H16"/>
    <mergeCell ref="L16:N16"/>
    <mergeCell ref="I18:K18"/>
    <mergeCell ref="F17:H17"/>
    <mergeCell ref="A19:A21"/>
    <mergeCell ref="B19:C21"/>
    <mergeCell ref="D19:D21"/>
    <mergeCell ref="E19:E21"/>
    <mergeCell ref="F19:H19"/>
    <mergeCell ref="F14:H14"/>
    <mergeCell ref="I15:K15"/>
    <mergeCell ref="F11:H11"/>
    <mergeCell ref="F12:H12"/>
    <mergeCell ref="I12:K12"/>
    <mergeCell ref="F15:H15"/>
    <mergeCell ref="L15:N15"/>
    <mergeCell ref="O15:Q15"/>
    <mergeCell ref="O13:Q13"/>
    <mergeCell ref="I11:K11"/>
    <mergeCell ref="L12:N12"/>
    <mergeCell ref="O12:Q12"/>
    <mergeCell ref="O10:Q10"/>
    <mergeCell ref="L10:N10"/>
    <mergeCell ref="F10:H10"/>
    <mergeCell ref="I10:K10"/>
    <mergeCell ref="A7:A9"/>
    <mergeCell ref="B7:C9"/>
    <mergeCell ref="D7:D9"/>
    <mergeCell ref="E7:E9"/>
    <mergeCell ref="F7:H7"/>
    <mergeCell ref="F8:H8"/>
    <mergeCell ref="F9:H9"/>
    <mergeCell ref="I9:K9"/>
    <mergeCell ref="L9:N9"/>
    <mergeCell ref="O9:Q9"/>
    <mergeCell ref="I7:K7"/>
    <mergeCell ref="L7:N7"/>
    <mergeCell ref="O7:Q7"/>
    <mergeCell ref="A10:A12"/>
    <mergeCell ref="B10:C12"/>
    <mergeCell ref="D10:D12"/>
    <mergeCell ref="E10:E12"/>
    <mergeCell ref="I8:K8"/>
    <mergeCell ref="A1:E3"/>
    <mergeCell ref="F1:Q3"/>
    <mergeCell ref="A4:Q4"/>
    <mergeCell ref="A5:E5"/>
    <mergeCell ref="F5:Q5"/>
    <mergeCell ref="B6:C6"/>
    <mergeCell ref="F6:H6"/>
    <mergeCell ref="I6:K6"/>
    <mergeCell ref="L6:N6"/>
    <mergeCell ref="O6:Q6"/>
    <mergeCell ref="O22:Q22"/>
    <mergeCell ref="F28:H28"/>
    <mergeCell ref="I28:K28"/>
    <mergeCell ref="L28:N28"/>
    <mergeCell ref="O28:Q28"/>
    <mergeCell ref="F26:H26"/>
    <mergeCell ref="F29:H29"/>
    <mergeCell ref="F18:H18"/>
    <mergeCell ref="L18:N18"/>
    <mergeCell ref="O18:Q18"/>
    <mergeCell ref="O21:Q21"/>
    <mergeCell ref="O19:Q19"/>
    <mergeCell ref="I19:K19"/>
    <mergeCell ref="F20:H20"/>
    <mergeCell ref="O24:Q24"/>
    <mergeCell ref="L22:N22"/>
    <mergeCell ref="L26:N26"/>
    <mergeCell ref="O26:Q26"/>
    <mergeCell ref="I29:K29"/>
    <mergeCell ref="L29:N29"/>
    <mergeCell ref="O29:Q29"/>
    <mergeCell ref="I20:K20"/>
    <mergeCell ref="L20:N20"/>
    <mergeCell ref="O20:Q20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6">
    <tabColor rgb="FF00B050"/>
  </sheetPr>
  <dimension ref="B1:O33"/>
  <sheetViews>
    <sheetView zoomScaleNormal="100" workbookViewId="0">
      <selection activeCell="H36" sqref="H36"/>
    </sheetView>
  </sheetViews>
  <sheetFormatPr defaultRowHeight="12.75"/>
  <cols>
    <col min="2" max="2" width="13.5703125" customWidth="1"/>
    <col min="3" max="3" width="74.85546875" bestFit="1" customWidth="1"/>
    <col min="4" max="4" width="10.42578125" bestFit="1" customWidth="1"/>
    <col min="5" max="5" width="10.5703125" customWidth="1"/>
    <col min="6" max="6" width="10.85546875" customWidth="1"/>
    <col min="7" max="7" width="11.7109375" customWidth="1"/>
    <col min="8" max="9" width="9.42578125" bestFit="1" customWidth="1"/>
    <col min="10" max="10" width="11.140625" bestFit="1" customWidth="1"/>
    <col min="11" max="11" width="17.7109375" customWidth="1"/>
    <col min="258" max="258" width="13.5703125" customWidth="1"/>
    <col min="259" max="259" width="66.7109375" customWidth="1"/>
    <col min="260" max="260" width="10.42578125" bestFit="1" customWidth="1"/>
    <col min="261" max="261" width="10.5703125" customWidth="1"/>
    <col min="262" max="262" width="10.85546875" customWidth="1"/>
    <col min="263" max="263" width="11.7109375" customWidth="1"/>
    <col min="264" max="265" width="9.42578125" bestFit="1" customWidth="1"/>
    <col min="266" max="266" width="11.140625" bestFit="1" customWidth="1"/>
    <col min="267" max="267" width="17.7109375" customWidth="1"/>
    <col min="514" max="514" width="13.5703125" customWidth="1"/>
    <col min="515" max="515" width="66.7109375" customWidth="1"/>
    <col min="516" max="516" width="10.42578125" bestFit="1" customWidth="1"/>
    <col min="517" max="517" width="10.5703125" customWidth="1"/>
    <col min="518" max="518" width="10.85546875" customWidth="1"/>
    <col min="519" max="519" width="11.7109375" customWidth="1"/>
    <col min="520" max="521" width="9.42578125" bestFit="1" customWidth="1"/>
    <col min="522" max="522" width="11.140625" bestFit="1" customWidth="1"/>
    <col min="523" max="523" width="17.7109375" customWidth="1"/>
    <col min="770" max="770" width="13.5703125" customWidth="1"/>
    <col min="771" max="771" width="66.7109375" customWidth="1"/>
    <col min="772" max="772" width="10.42578125" bestFit="1" customWidth="1"/>
    <col min="773" max="773" width="10.5703125" customWidth="1"/>
    <col min="774" max="774" width="10.85546875" customWidth="1"/>
    <col min="775" max="775" width="11.7109375" customWidth="1"/>
    <col min="776" max="777" width="9.42578125" bestFit="1" customWidth="1"/>
    <col min="778" max="778" width="11.140625" bestFit="1" customWidth="1"/>
    <col min="779" max="779" width="17.7109375" customWidth="1"/>
    <col min="1026" max="1026" width="13.5703125" customWidth="1"/>
    <col min="1027" max="1027" width="66.7109375" customWidth="1"/>
    <col min="1028" max="1028" width="10.42578125" bestFit="1" customWidth="1"/>
    <col min="1029" max="1029" width="10.5703125" customWidth="1"/>
    <col min="1030" max="1030" width="10.85546875" customWidth="1"/>
    <col min="1031" max="1031" width="11.7109375" customWidth="1"/>
    <col min="1032" max="1033" width="9.42578125" bestFit="1" customWidth="1"/>
    <col min="1034" max="1034" width="11.140625" bestFit="1" customWidth="1"/>
    <col min="1035" max="1035" width="17.7109375" customWidth="1"/>
    <col min="1282" max="1282" width="13.5703125" customWidth="1"/>
    <col min="1283" max="1283" width="66.7109375" customWidth="1"/>
    <col min="1284" max="1284" width="10.42578125" bestFit="1" customWidth="1"/>
    <col min="1285" max="1285" width="10.5703125" customWidth="1"/>
    <col min="1286" max="1286" width="10.85546875" customWidth="1"/>
    <col min="1287" max="1287" width="11.7109375" customWidth="1"/>
    <col min="1288" max="1289" width="9.42578125" bestFit="1" customWidth="1"/>
    <col min="1290" max="1290" width="11.140625" bestFit="1" customWidth="1"/>
    <col min="1291" max="1291" width="17.7109375" customWidth="1"/>
    <col min="1538" max="1538" width="13.5703125" customWidth="1"/>
    <col min="1539" max="1539" width="66.7109375" customWidth="1"/>
    <col min="1540" max="1540" width="10.42578125" bestFit="1" customWidth="1"/>
    <col min="1541" max="1541" width="10.5703125" customWidth="1"/>
    <col min="1542" max="1542" width="10.85546875" customWidth="1"/>
    <col min="1543" max="1543" width="11.7109375" customWidth="1"/>
    <col min="1544" max="1545" width="9.42578125" bestFit="1" customWidth="1"/>
    <col min="1546" max="1546" width="11.140625" bestFit="1" customWidth="1"/>
    <col min="1547" max="1547" width="17.7109375" customWidth="1"/>
    <col min="1794" max="1794" width="13.5703125" customWidth="1"/>
    <col min="1795" max="1795" width="66.7109375" customWidth="1"/>
    <col min="1796" max="1796" width="10.42578125" bestFit="1" customWidth="1"/>
    <col min="1797" max="1797" width="10.5703125" customWidth="1"/>
    <col min="1798" max="1798" width="10.85546875" customWidth="1"/>
    <col min="1799" max="1799" width="11.7109375" customWidth="1"/>
    <col min="1800" max="1801" width="9.42578125" bestFit="1" customWidth="1"/>
    <col min="1802" max="1802" width="11.140625" bestFit="1" customWidth="1"/>
    <col min="1803" max="1803" width="17.7109375" customWidth="1"/>
    <col min="2050" max="2050" width="13.5703125" customWidth="1"/>
    <col min="2051" max="2051" width="66.7109375" customWidth="1"/>
    <col min="2052" max="2052" width="10.42578125" bestFit="1" customWidth="1"/>
    <col min="2053" max="2053" width="10.5703125" customWidth="1"/>
    <col min="2054" max="2054" width="10.85546875" customWidth="1"/>
    <col min="2055" max="2055" width="11.7109375" customWidth="1"/>
    <col min="2056" max="2057" width="9.42578125" bestFit="1" customWidth="1"/>
    <col min="2058" max="2058" width="11.140625" bestFit="1" customWidth="1"/>
    <col min="2059" max="2059" width="17.7109375" customWidth="1"/>
    <col min="2306" max="2306" width="13.5703125" customWidth="1"/>
    <col min="2307" max="2307" width="66.7109375" customWidth="1"/>
    <col min="2308" max="2308" width="10.42578125" bestFit="1" customWidth="1"/>
    <col min="2309" max="2309" width="10.5703125" customWidth="1"/>
    <col min="2310" max="2310" width="10.85546875" customWidth="1"/>
    <col min="2311" max="2311" width="11.7109375" customWidth="1"/>
    <col min="2312" max="2313" width="9.42578125" bestFit="1" customWidth="1"/>
    <col min="2314" max="2314" width="11.140625" bestFit="1" customWidth="1"/>
    <col min="2315" max="2315" width="17.7109375" customWidth="1"/>
    <col min="2562" max="2562" width="13.5703125" customWidth="1"/>
    <col min="2563" max="2563" width="66.7109375" customWidth="1"/>
    <col min="2564" max="2564" width="10.42578125" bestFit="1" customWidth="1"/>
    <col min="2565" max="2565" width="10.5703125" customWidth="1"/>
    <col min="2566" max="2566" width="10.85546875" customWidth="1"/>
    <col min="2567" max="2567" width="11.7109375" customWidth="1"/>
    <col min="2568" max="2569" width="9.42578125" bestFit="1" customWidth="1"/>
    <col min="2570" max="2570" width="11.140625" bestFit="1" customWidth="1"/>
    <col min="2571" max="2571" width="17.7109375" customWidth="1"/>
    <col min="2818" max="2818" width="13.5703125" customWidth="1"/>
    <col min="2819" max="2819" width="66.7109375" customWidth="1"/>
    <col min="2820" max="2820" width="10.42578125" bestFit="1" customWidth="1"/>
    <col min="2821" max="2821" width="10.5703125" customWidth="1"/>
    <col min="2822" max="2822" width="10.85546875" customWidth="1"/>
    <col min="2823" max="2823" width="11.7109375" customWidth="1"/>
    <col min="2824" max="2825" width="9.42578125" bestFit="1" customWidth="1"/>
    <col min="2826" max="2826" width="11.140625" bestFit="1" customWidth="1"/>
    <col min="2827" max="2827" width="17.7109375" customWidth="1"/>
    <col min="3074" max="3074" width="13.5703125" customWidth="1"/>
    <col min="3075" max="3075" width="66.7109375" customWidth="1"/>
    <col min="3076" max="3076" width="10.42578125" bestFit="1" customWidth="1"/>
    <col min="3077" max="3077" width="10.5703125" customWidth="1"/>
    <col min="3078" max="3078" width="10.85546875" customWidth="1"/>
    <col min="3079" max="3079" width="11.7109375" customWidth="1"/>
    <col min="3080" max="3081" width="9.42578125" bestFit="1" customWidth="1"/>
    <col min="3082" max="3082" width="11.140625" bestFit="1" customWidth="1"/>
    <col min="3083" max="3083" width="17.7109375" customWidth="1"/>
    <col min="3330" max="3330" width="13.5703125" customWidth="1"/>
    <col min="3331" max="3331" width="66.7109375" customWidth="1"/>
    <col min="3332" max="3332" width="10.42578125" bestFit="1" customWidth="1"/>
    <col min="3333" max="3333" width="10.5703125" customWidth="1"/>
    <col min="3334" max="3334" width="10.85546875" customWidth="1"/>
    <col min="3335" max="3335" width="11.7109375" customWidth="1"/>
    <col min="3336" max="3337" width="9.42578125" bestFit="1" customWidth="1"/>
    <col min="3338" max="3338" width="11.140625" bestFit="1" customWidth="1"/>
    <col min="3339" max="3339" width="17.7109375" customWidth="1"/>
    <col min="3586" max="3586" width="13.5703125" customWidth="1"/>
    <col min="3587" max="3587" width="66.7109375" customWidth="1"/>
    <col min="3588" max="3588" width="10.42578125" bestFit="1" customWidth="1"/>
    <col min="3589" max="3589" width="10.5703125" customWidth="1"/>
    <col min="3590" max="3590" width="10.85546875" customWidth="1"/>
    <col min="3591" max="3591" width="11.7109375" customWidth="1"/>
    <col min="3592" max="3593" width="9.42578125" bestFit="1" customWidth="1"/>
    <col min="3594" max="3594" width="11.140625" bestFit="1" customWidth="1"/>
    <col min="3595" max="3595" width="17.7109375" customWidth="1"/>
    <col min="3842" max="3842" width="13.5703125" customWidth="1"/>
    <col min="3843" max="3843" width="66.7109375" customWidth="1"/>
    <col min="3844" max="3844" width="10.42578125" bestFit="1" customWidth="1"/>
    <col min="3845" max="3845" width="10.5703125" customWidth="1"/>
    <col min="3846" max="3846" width="10.85546875" customWidth="1"/>
    <col min="3847" max="3847" width="11.7109375" customWidth="1"/>
    <col min="3848" max="3849" width="9.42578125" bestFit="1" customWidth="1"/>
    <col min="3850" max="3850" width="11.140625" bestFit="1" customWidth="1"/>
    <col min="3851" max="3851" width="17.7109375" customWidth="1"/>
    <col min="4098" max="4098" width="13.5703125" customWidth="1"/>
    <col min="4099" max="4099" width="66.7109375" customWidth="1"/>
    <col min="4100" max="4100" width="10.42578125" bestFit="1" customWidth="1"/>
    <col min="4101" max="4101" width="10.5703125" customWidth="1"/>
    <col min="4102" max="4102" width="10.85546875" customWidth="1"/>
    <col min="4103" max="4103" width="11.7109375" customWidth="1"/>
    <col min="4104" max="4105" width="9.42578125" bestFit="1" customWidth="1"/>
    <col min="4106" max="4106" width="11.140625" bestFit="1" customWidth="1"/>
    <col min="4107" max="4107" width="17.7109375" customWidth="1"/>
    <col min="4354" max="4354" width="13.5703125" customWidth="1"/>
    <col min="4355" max="4355" width="66.7109375" customWidth="1"/>
    <col min="4356" max="4356" width="10.42578125" bestFit="1" customWidth="1"/>
    <col min="4357" max="4357" width="10.5703125" customWidth="1"/>
    <col min="4358" max="4358" width="10.85546875" customWidth="1"/>
    <col min="4359" max="4359" width="11.7109375" customWidth="1"/>
    <col min="4360" max="4361" width="9.42578125" bestFit="1" customWidth="1"/>
    <col min="4362" max="4362" width="11.140625" bestFit="1" customWidth="1"/>
    <col min="4363" max="4363" width="17.7109375" customWidth="1"/>
    <col min="4610" max="4610" width="13.5703125" customWidth="1"/>
    <col min="4611" max="4611" width="66.7109375" customWidth="1"/>
    <col min="4612" max="4612" width="10.42578125" bestFit="1" customWidth="1"/>
    <col min="4613" max="4613" width="10.5703125" customWidth="1"/>
    <col min="4614" max="4614" width="10.85546875" customWidth="1"/>
    <col min="4615" max="4615" width="11.7109375" customWidth="1"/>
    <col min="4616" max="4617" width="9.42578125" bestFit="1" customWidth="1"/>
    <col min="4618" max="4618" width="11.140625" bestFit="1" customWidth="1"/>
    <col min="4619" max="4619" width="17.7109375" customWidth="1"/>
    <col min="4866" max="4866" width="13.5703125" customWidth="1"/>
    <col min="4867" max="4867" width="66.7109375" customWidth="1"/>
    <col min="4868" max="4868" width="10.42578125" bestFit="1" customWidth="1"/>
    <col min="4869" max="4869" width="10.5703125" customWidth="1"/>
    <col min="4870" max="4870" width="10.85546875" customWidth="1"/>
    <col min="4871" max="4871" width="11.7109375" customWidth="1"/>
    <col min="4872" max="4873" width="9.42578125" bestFit="1" customWidth="1"/>
    <col min="4874" max="4874" width="11.140625" bestFit="1" customWidth="1"/>
    <col min="4875" max="4875" width="17.7109375" customWidth="1"/>
    <col min="5122" max="5122" width="13.5703125" customWidth="1"/>
    <col min="5123" max="5123" width="66.7109375" customWidth="1"/>
    <col min="5124" max="5124" width="10.42578125" bestFit="1" customWidth="1"/>
    <col min="5125" max="5125" width="10.5703125" customWidth="1"/>
    <col min="5126" max="5126" width="10.85546875" customWidth="1"/>
    <col min="5127" max="5127" width="11.7109375" customWidth="1"/>
    <col min="5128" max="5129" width="9.42578125" bestFit="1" customWidth="1"/>
    <col min="5130" max="5130" width="11.140625" bestFit="1" customWidth="1"/>
    <col min="5131" max="5131" width="17.7109375" customWidth="1"/>
    <col min="5378" max="5378" width="13.5703125" customWidth="1"/>
    <col min="5379" max="5379" width="66.7109375" customWidth="1"/>
    <col min="5380" max="5380" width="10.42578125" bestFit="1" customWidth="1"/>
    <col min="5381" max="5381" width="10.5703125" customWidth="1"/>
    <col min="5382" max="5382" width="10.85546875" customWidth="1"/>
    <col min="5383" max="5383" width="11.7109375" customWidth="1"/>
    <col min="5384" max="5385" width="9.42578125" bestFit="1" customWidth="1"/>
    <col min="5386" max="5386" width="11.140625" bestFit="1" customWidth="1"/>
    <col min="5387" max="5387" width="17.7109375" customWidth="1"/>
    <col min="5634" max="5634" width="13.5703125" customWidth="1"/>
    <col min="5635" max="5635" width="66.7109375" customWidth="1"/>
    <col min="5636" max="5636" width="10.42578125" bestFit="1" customWidth="1"/>
    <col min="5637" max="5637" width="10.5703125" customWidth="1"/>
    <col min="5638" max="5638" width="10.85546875" customWidth="1"/>
    <col min="5639" max="5639" width="11.7109375" customWidth="1"/>
    <col min="5640" max="5641" width="9.42578125" bestFit="1" customWidth="1"/>
    <col min="5642" max="5642" width="11.140625" bestFit="1" customWidth="1"/>
    <col min="5643" max="5643" width="17.7109375" customWidth="1"/>
    <col min="5890" max="5890" width="13.5703125" customWidth="1"/>
    <col min="5891" max="5891" width="66.7109375" customWidth="1"/>
    <col min="5892" max="5892" width="10.42578125" bestFit="1" customWidth="1"/>
    <col min="5893" max="5893" width="10.5703125" customWidth="1"/>
    <col min="5894" max="5894" width="10.85546875" customWidth="1"/>
    <col min="5895" max="5895" width="11.7109375" customWidth="1"/>
    <col min="5896" max="5897" width="9.42578125" bestFit="1" customWidth="1"/>
    <col min="5898" max="5898" width="11.140625" bestFit="1" customWidth="1"/>
    <col min="5899" max="5899" width="17.7109375" customWidth="1"/>
    <col min="6146" max="6146" width="13.5703125" customWidth="1"/>
    <col min="6147" max="6147" width="66.7109375" customWidth="1"/>
    <col min="6148" max="6148" width="10.42578125" bestFit="1" customWidth="1"/>
    <col min="6149" max="6149" width="10.5703125" customWidth="1"/>
    <col min="6150" max="6150" width="10.85546875" customWidth="1"/>
    <col min="6151" max="6151" width="11.7109375" customWidth="1"/>
    <col min="6152" max="6153" width="9.42578125" bestFit="1" customWidth="1"/>
    <col min="6154" max="6154" width="11.140625" bestFit="1" customWidth="1"/>
    <col min="6155" max="6155" width="17.7109375" customWidth="1"/>
    <col min="6402" max="6402" width="13.5703125" customWidth="1"/>
    <col min="6403" max="6403" width="66.7109375" customWidth="1"/>
    <col min="6404" max="6404" width="10.42578125" bestFit="1" customWidth="1"/>
    <col min="6405" max="6405" width="10.5703125" customWidth="1"/>
    <col min="6406" max="6406" width="10.85546875" customWidth="1"/>
    <col min="6407" max="6407" width="11.7109375" customWidth="1"/>
    <col min="6408" max="6409" width="9.42578125" bestFit="1" customWidth="1"/>
    <col min="6410" max="6410" width="11.140625" bestFit="1" customWidth="1"/>
    <col min="6411" max="6411" width="17.7109375" customWidth="1"/>
    <col min="6658" max="6658" width="13.5703125" customWidth="1"/>
    <col min="6659" max="6659" width="66.7109375" customWidth="1"/>
    <col min="6660" max="6660" width="10.42578125" bestFit="1" customWidth="1"/>
    <col min="6661" max="6661" width="10.5703125" customWidth="1"/>
    <col min="6662" max="6662" width="10.85546875" customWidth="1"/>
    <col min="6663" max="6663" width="11.7109375" customWidth="1"/>
    <col min="6664" max="6665" width="9.42578125" bestFit="1" customWidth="1"/>
    <col min="6666" max="6666" width="11.140625" bestFit="1" customWidth="1"/>
    <col min="6667" max="6667" width="17.7109375" customWidth="1"/>
    <col min="6914" max="6914" width="13.5703125" customWidth="1"/>
    <col min="6915" max="6915" width="66.7109375" customWidth="1"/>
    <col min="6916" max="6916" width="10.42578125" bestFit="1" customWidth="1"/>
    <col min="6917" max="6917" width="10.5703125" customWidth="1"/>
    <col min="6918" max="6918" width="10.85546875" customWidth="1"/>
    <col min="6919" max="6919" width="11.7109375" customWidth="1"/>
    <col min="6920" max="6921" width="9.42578125" bestFit="1" customWidth="1"/>
    <col min="6922" max="6922" width="11.140625" bestFit="1" customWidth="1"/>
    <col min="6923" max="6923" width="17.7109375" customWidth="1"/>
    <col min="7170" max="7170" width="13.5703125" customWidth="1"/>
    <col min="7171" max="7171" width="66.7109375" customWidth="1"/>
    <col min="7172" max="7172" width="10.42578125" bestFit="1" customWidth="1"/>
    <col min="7173" max="7173" width="10.5703125" customWidth="1"/>
    <col min="7174" max="7174" width="10.85546875" customWidth="1"/>
    <col min="7175" max="7175" width="11.7109375" customWidth="1"/>
    <col min="7176" max="7177" width="9.42578125" bestFit="1" customWidth="1"/>
    <col min="7178" max="7178" width="11.140625" bestFit="1" customWidth="1"/>
    <col min="7179" max="7179" width="17.7109375" customWidth="1"/>
    <col min="7426" max="7426" width="13.5703125" customWidth="1"/>
    <col min="7427" max="7427" width="66.7109375" customWidth="1"/>
    <col min="7428" max="7428" width="10.42578125" bestFit="1" customWidth="1"/>
    <col min="7429" max="7429" width="10.5703125" customWidth="1"/>
    <col min="7430" max="7430" width="10.85546875" customWidth="1"/>
    <col min="7431" max="7431" width="11.7109375" customWidth="1"/>
    <col min="7432" max="7433" width="9.42578125" bestFit="1" customWidth="1"/>
    <col min="7434" max="7434" width="11.140625" bestFit="1" customWidth="1"/>
    <col min="7435" max="7435" width="17.7109375" customWidth="1"/>
    <col min="7682" max="7682" width="13.5703125" customWidth="1"/>
    <col min="7683" max="7683" width="66.7109375" customWidth="1"/>
    <col min="7684" max="7684" width="10.42578125" bestFit="1" customWidth="1"/>
    <col min="7685" max="7685" width="10.5703125" customWidth="1"/>
    <col min="7686" max="7686" width="10.85546875" customWidth="1"/>
    <col min="7687" max="7687" width="11.7109375" customWidth="1"/>
    <col min="7688" max="7689" width="9.42578125" bestFit="1" customWidth="1"/>
    <col min="7690" max="7690" width="11.140625" bestFit="1" customWidth="1"/>
    <col min="7691" max="7691" width="17.7109375" customWidth="1"/>
    <col min="7938" max="7938" width="13.5703125" customWidth="1"/>
    <col min="7939" max="7939" width="66.7109375" customWidth="1"/>
    <col min="7940" max="7940" width="10.42578125" bestFit="1" customWidth="1"/>
    <col min="7941" max="7941" width="10.5703125" customWidth="1"/>
    <col min="7942" max="7942" width="10.85546875" customWidth="1"/>
    <col min="7943" max="7943" width="11.7109375" customWidth="1"/>
    <col min="7944" max="7945" width="9.42578125" bestFit="1" customWidth="1"/>
    <col min="7946" max="7946" width="11.140625" bestFit="1" customWidth="1"/>
    <col min="7947" max="7947" width="17.7109375" customWidth="1"/>
    <col min="8194" max="8194" width="13.5703125" customWidth="1"/>
    <col min="8195" max="8195" width="66.7109375" customWidth="1"/>
    <col min="8196" max="8196" width="10.42578125" bestFit="1" customWidth="1"/>
    <col min="8197" max="8197" width="10.5703125" customWidth="1"/>
    <col min="8198" max="8198" width="10.85546875" customWidth="1"/>
    <col min="8199" max="8199" width="11.7109375" customWidth="1"/>
    <col min="8200" max="8201" width="9.42578125" bestFit="1" customWidth="1"/>
    <col min="8202" max="8202" width="11.140625" bestFit="1" customWidth="1"/>
    <col min="8203" max="8203" width="17.7109375" customWidth="1"/>
    <col min="8450" max="8450" width="13.5703125" customWidth="1"/>
    <col min="8451" max="8451" width="66.7109375" customWidth="1"/>
    <col min="8452" max="8452" width="10.42578125" bestFit="1" customWidth="1"/>
    <col min="8453" max="8453" width="10.5703125" customWidth="1"/>
    <col min="8454" max="8454" width="10.85546875" customWidth="1"/>
    <col min="8455" max="8455" width="11.7109375" customWidth="1"/>
    <col min="8456" max="8457" width="9.42578125" bestFit="1" customWidth="1"/>
    <col min="8458" max="8458" width="11.140625" bestFit="1" customWidth="1"/>
    <col min="8459" max="8459" width="17.7109375" customWidth="1"/>
    <col min="8706" max="8706" width="13.5703125" customWidth="1"/>
    <col min="8707" max="8707" width="66.7109375" customWidth="1"/>
    <col min="8708" max="8708" width="10.42578125" bestFit="1" customWidth="1"/>
    <col min="8709" max="8709" width="10.5703125" customWidth="1"/>
    <col min="8710" max="8710" width="10.85546875" customWidth="1"/>
    <col min="8711" max="8711" width="11.7109375" customWidth="1"/>
    <col min="8712" max="8713" width="9.42578125" bestFit="1" customWidth="1"/>
    <col min="8714" max="8714" width="11.140625" bestFit="1" customWidth="1"/>
    <col min="8715" max="8715" width="17.7109375" customWidth="1"/>
    <col min="8962" max="8962" width="13.5703125" customWidth="1"/>
    <col min="8963" max="8963" width="66.7109375" customWidth="1"/>
    <col min="8964" max="8964" width="10.42578125" bestFit="1" customWidth="1"/>
    <col min="8965" max="8965" width="10.5703125" customWidth="1"/>
    <col min="8966" max="8966" width="10.85546875" customWidth="1"/>
    <col min="8967" max="8967" width="11.7109375" customWidth="1"/>
    <col min="8968" max="8969" width="9.42578125" bestFit="1" customWidth="1"/>
    <col min="8970" max="8970" width="11.140625" bestFit="1" customWidth="1"/>
    <col min="8971" max="8971" width="17.7109375" customWidth="1"/>
    <col min="9218" max="9218" width="13.5703125" customWidth="1"/>
    <col min="9219" max="9219" width="66.7109375" customWidth="1"/>
    <col min="9220" max="9220" width="10.42578125" bestFit="1" customWidth="1"/>
    <col min="9221" max="9221" width="10.5703125" customWidth="1"/>
    <col min="9222" max="9222" width="10.85546875" customWidth="1"/>
    <col min="9223" max="9223" width="11.7109375" customWidth="1"/>
    <col min="9224" max="9225" width="9.42578125" bestFit="1" customWidth="1"/>
    <col min="9226" max="9226" width="11.140625" bestFit="1" customWidth="1"/>
    <col min="9227" max="9227" width="17.7109375" customWidth="1"/>
    <col min="9474" max="9474" width="13.5703125" customWidth="1"/>
    <col min="9475" max="9475" width="66.7109375" customWidth="1"/>
    <col min="9476" max="9476" width="10.42578125" bestFit="1" customWidth="1"/>
    <col min="9477" max="9477" width="10.5703125" customWidth="1"/>
    <col min="9478" max="9478" width="10.85546875" customWidth="1"/>
    <col min="9479" max="9479" width="11.7109375" customWidth="1"/>
    <col min="9480" max="9481" width="9.42578125" bestFit="1" customWidth="1"/>
    <col min="9482" max="9482" width="11.140625" bestFit="1" customWidth="1"/>
    <col min="9483" max="9483" width="17.7109375" customWidth="1"/>
    <col min="9730" max="9730" width="13.5703125" customWidth="1"/>
    <col min="9731" max="9731" width="66.7109375" customWidth="1"/>
    <col min="9732" max="9732" width="10.42578125" bestFit="1" customWidth="1"/>
    <col min="9733" max="9733" width="10.5703125" customWidth="1"/>
    <col min="9734" max="9734" width="10.85546875" customWidth="1"/>
    <col min="9735" max="9735" width="11.7109375" customWidth="1"/>
    <col min="9736" max="9737" width="9.42578125" bestFit="1" customWidth="1"/>
    <col min="9738" max="9738" width="11.140625" bestFit="1" customWidth="1"/>
    <col min="9739" max="9739" width="17.7109375" customWidth="1"/>
    <col min="9986" max="9986" width="13.5703125" customWidth="1"/>
    <col min="9987" max="9987" width="66.7109375" customWidth="1"/>
    <col min="9988" max="9988" width="10.42578125" bestFit="1" customWidth="1"/>
    <col min="9989" max="9989" width="10.5703125" customWidth="1"/>
    <col min="9990" max="9990" width="10.85546875" customWidth="1"/>
    <col min="9991" max="9991" width="11.7109375" customWidth="1"/>
    <col min="9992" max="9993" width="9.42578125" bestFit="1" customWidth="1"/>
    <col min="9994" max="9994" width="11.140625" bestFit="1" customWidth="1"/>
    <col min="9995" max="9995" width="17.7109375" customWidth="1"/>
    <col min="10242" max="10242" width="13.5703125" customWidth="1"/>
    <col min="10243" max="10243" width="66.7109375" customWidth="1"/>
    <col min="10244" max="10244" width="10.42578125" bestFit="1" customWidth="1"/>
    <col min="10245" max="10245" width="10.5703125" customWidth="1"/>
    <col min="10246" max="10246" width="10.85546875" customWidth="1"/>
    <col min="10247" max="10247" width="11.7109375" customWidth="1"/>
    <col min="10248" max="10249" width="9.42578125" bestFit="1" customWidth="1"/>
    <col min="10250" max="10250" width="11.140625" bestFit="1" customWidth="1"/>
    <col min="10251" max="10251" width="17.7109375" customWidth="1"/>
    <col min="10498" max="10498" width="13.5703125" customWidth="1"/>
    <col min="10499" max="10499" width="66.7109375" customWidth="1"/>
    <col min="10500" max="10500" width="10.42578125" bestFit="1" customWidth="1"/>
    <col min="10501" max="10501" width="10.5703125" customWidth="1"/>
    <col min="10502" max="10502" width="10.85546875" customWidth="1"/>
    <col min="10503" max="10503" width="11.7109375" customWidth="1"/>
    <col min="10504" max="10505" width="9.42578125" bestFit="1" customWidth="1"/>
    <col min="10506" max="10506" width="11.140625" bestFit="1" customWidth="1"/>
    <col min="10507" max="10507" width="17.7109375" customWidth="1"/>
    <col min="10754" max="10754" width="13.5703125" customWidth="1"/>
    <col min="10755" max="10755" width="66.7109375" customWidth="1"/>
    <col min="10756" max="10756" width="10.42578125" bestFit="1" customWidth="1"/>
    <col min="10757" max="10757" width="10.5703125" customWidth="1"/>
    <col min="10758" max="10758" width="10.85546875" customWidth="1"/>
    <col min="10759" max="10759" width="11.7109375" customWidth="1"/>
    <col min="10760" max="10761" width="9.42578125" bestFit="1" customWidth="1"/>
    <col min="10762" max="10762" width="11.140625" bestFit="1" customWidth="1"/>
    <col min="10763" max="10763" width="17.7109375" customWidth="1"/>
    <col min="11010" max="11010" width="13.5703125" customWidth="1"/>
    <col min="11011" max="11011" width="66.7109375" customWidth="1"/>
    <col min="11012" max="11012" width="10.42578125" bestFit="1" customWidth="1"/>
    <col min="11013" max="11013" width="10.5703125" customWidth="1"/>
    <col min="11014" max="11014" width="10.85546875" customWidth="1"/>
    <col min="11015" max="11015" width="11.7109375" customWidth="1"/>
    <col min="11016" max="11017" width="9.42578125" bestFit="1" customWidth="1"/>
    <col min="11018" max="11018" width="11.140625" bestFit="1" customWidth="1"/>
    <col min="11019" max="11019" width="17.7109375" customWidth="1"/>
    <col min="11266" max="11266" width="13.5703125" customWidth="1"/>
    <col min="11267" max="11267" width="66.7109375" customWidth="1"/>
    <col min="11268" max="11268" width="10.42578125" bestFit="1" customWidth="1"/>
    <col min="11269" max="11269" width="10.5703125" customWidth="1"/>
    <col min="11270" max="11270" width="10.85546875" customWidth="1"/>
    <col min="11271" max="11271" width="11.7109375" customWidth="1"/>
    <col min="11272" max="11273" width="9.42578125" bestFit="1" customWidth="1"/>
    <col min="11274" max="11274" width="11.140625" bestFit="1" customWidth="1"/>
    <col min="11275" max="11275" width="17.7109375" customWidth="1"/>
    <col min="11522" max="11522" width="13.5703125" customWidth="1"/>
    <col min="11523" max="11523" width="66.7109375" customWidth="1"/>
    <col min="11524" max="11524" width="10.42578125" bestFit="1" customWidth="1"/>
    <col min="11525" max="11525" width="10.5703125" customWidth="1"/>
    <col min="11526" max="11526" width="10.85546875" customWidth="1"/>
    <col min="11527" max="11527" width="11.7109375" customWidth="1"/>
    <col min="11528" max="11529" width="9.42578125" bestFit="1" customWidth="1"/>
    <col min="11530" max="11530" width="11.140625" bestFit="1" customWidth="1"/>
    <col min="11531" max="11531" width="17.7109375" customWidth="1"/>
    <col min="11778" max="11778" width="13.5703125" customWidth="1"/>
    <col min="11779" max="11779" width="66.7109375" customWidth="1"/>
    <col min="11780" max="11780" width="10.42578125" bestFit="1" customWidth="1"/>
    <col min="11781" max="11781" width="10.5703125" customWidth="1"/>
    <col min="11782" max="11782" width="10.85546875" customWidth="1"/>
    <col min="11783" max="11783" width="11.7109375" customWidth="1"/>
    <col min="11784" max="11785" width="9.42578125" bestFit="1" customWidth="1"/>
    <col min="11786" max="11786" width="11.140625" bestFit="1" customWidth="1"/>
    <col min="11787" max="11787" width="17.7109375" customWidth="1"/>
    <col min="12034" max="12034" width="13.5703125" customWidth="1"/>
    <col min="12035" max="12035" width="66.7109375" customWidth="1"/>
    <col min="12036" max="12036" width="10.42578125" bestFit="1" customWidth="1"/>
    <col min="12037" max="12037" width="10.5703125" customWidth="1"/>
    <col min="12038" max="12038" width="10.85546875" customWidth="1"/>
    <col min="12039" max="12039" width="11.7109375" customWidth="1"/>
    <col min="12040" max="12041" width="9.42578125" bestFit="1" customWidth="1"/>
    <col min="12042" max="12042" width="11.140625" bestFit="1" customWidth="1"/>
    <col min="12043" max="12043" width="17.7109375" customWidth="1"/>
    <col min="12290" max="12290" width="13.5703125" customWidth="1"/>
    <col min="12291" max="12291" width="66.7109375" customWidth="1"/>
    <col min="12292" max="12292" width="10.42578125" bestFit="1" customWidth="1"/>
    <col min="12293" max="12293" width="10.5703125" customWidth="1"/>
    <col min="12294" max="12294" width="10.85546875" customWidth="1"/>
    <col min="12295" max="12295" width="11.7109375" customWidth="1"/>
    <col min="12296" max="12297" width="9.42578125" bestFit="1" customWidth="1"/>
    <col min="12298" max="12298" width="11.140625" bestFit="1" customWidth="1"/>
    <col min="12299" max="12299" width="17.7109375" customWidth="1"/>
    <col min="12546" max="12546" width="13.5703125" customWidth="1"/>
    <col min="12547" max="12547" width="66.7109375" customWidth="1"/>
    <col min="12548" max="12548" width="10.42578125" bestFit="1" customWidth="1"/>
    <col min="12549" max="12549" width="10.5703125" customWidth="1"/>
    <col min="12550" max="12550" width="10.85546875" customWidth="1"/>
    <col min="12551" max="12551" width="11.7109375" customWidth="1"/>
    <col min="12552" max="12553" width="9.42578125" bestFit="1" customWidth="1"/>
    <col min="12554" max="12554" width="11.140625" bestFit="1" customWidth="1"/>
    <col min="12555" max="12555" width="17.7109375" customWidth="1"/>
    <col min="12802" max="12802" width="13.5703125" customWidth="1"/>
    <col min="12803" max="12803" width="66.7109375" customWidth="1"/>
    <col min="12804" max="12804" width="10.42578125" bestFit="1" customWidth="1"/>
    <col min="12805" max="12805" width="10.5703125" customWidth="1"/>
    <col min="12806" max="12806" width="10.85546875" customWidth="1"/>
    <col min="12807" max="12807" width="11.7109375" customWidth="1"/>
    <col min="12808" max="12809" width="9.42578125" bestFit="1" customWidth="1"/>
    <col min="12810" max="12810" width="11.140625" bestFit="1" customWidth="1"/>
    <col min="12811" max="12811" width="17.7109375" customWidth="1"/>
    <col min="13058" max="13058" width="13.5703125" customWidth="1"/>
    <col min="13059" max="13059" width="66.7109375" customWidth="1"/>
    <col min="13060" max="13060" width="10.42578125" bestFit="1" customWidth="1"/>
    <col min="13061" max="13061" width="10.5703125" customWidth="1"/>
    <col min="13062" max="13062" width="10.85546875" customWidth="1"/>
    <col min="13063" max="13063" width="11.7109375" customWidth="1"/>
    <col min="13064" max="13065" width="9.42578125" bestFit="1" customWidth="1"/>
    <col min="13066" max="13066" width="11.140625" bestFit="1" customWidth="1"/>
    <col min="13067" max="13067" width="17.7109375" customWidth="1"/>
    <col min="13314" max="13314" width="13.5703125" customWidth="1"/>
    <col min="13315" max="13315" width="66.7109375" customWidth="1"/>
    <col min="13316" max="13316" width="10.42578125" bestFit="1" customWidth="1"/>
    <col min="13317" max="13317" width="10.5703125" customWidth="1"/>
    <col min="13318" max="13318" width="10.85546875" customWidth="1"/>
    <col min="13319" max="13319" width="11.7109375" customWidth="1"/>
    <col min="13320" max="13321" width="9.42578125" bestFit="1" customWidth="1"/>
    <col min="13322" max="13322" width="11.140625" bestFit="1" customWidth="1"/>
    <col min="13323" max="13323" width="17.7109375" customWidth="1"/>
    <col min="13570" max="13570" width="13.5703125" customWidth="1"/>
    <col min="13571" max="13571" width="66.7109375" customWidth="1"/>
    <col min="13572" max="13572" width="10.42578125" bestFit="1" customWidth="1"/>
    <col min="13573" max="13573" width="10.5703125" customWidth="1"/>
    <col min="13574" max="13574" width="10.85546875" customWidth="1"/>
    <col min="13575" max="13575" width="11.7109375" customWidth="1"/>
    <col min="13576" max="13577" width="9.42578125" bestFit="1" customWidth="1"/>
    <col min="13578" max="13578" width="11.140625" bestFit="1" customWidth="1"/>
    <col min="13579" max="13579" width="17.7109375" customWidth="1"/>
    <col min="13826" max="13826" width="13.5703125" customWidth="1"/>
    <col min="13827" max="13827" width="66.7109375" customWidth="1"/>
    <col min="13828" max="13828" width="10.42578125" bestFit="1" customWidth="1"/>
    <col min="13829" max="13829" width="10.5703125" customWidth="1"/>
    <col min="13830" max="13830" width="10.85546875" customWidth="1"/>
    <col min="13831" max="13831" width="11.7109375" customWidth="1"/>
    <col min="13832" max="13833" width="9.42578125" bestFit="1" customWidth="1"/>
    <col min="13834" max="13834" width="11.140625" bestFit="1" customWidth="1"/>
    <col min="13835" max="13835" width="17.7109375" customWidth="1"/>
    <col min="14082" max="14082" width="13.5703125" customWidth="1"/>
    <col min="14083" max="14083" width="66.7109375" customWidth="1"/>
    <col min="14084" max="14084" width="10.42578125" bestFit="1" customWidth="1"/>
    <col min="14085" max="14085" width="10.5703125" customWidth="1"/>
    <col min="14086" max="14086" width="10.85546875" customWidth="1"/>
    <col min="14087" max="14087" width="11.7109375" customWidth="1"/>
    <col min="14088" max="14089" width="9.42578125" bestFit="1" customWidth="1"/>
    <col min="14090" max="14090" width="11.140625" bestFit="1" customWidth="1"/>
    <col min="14091" max="14091" width="17.7109375" customWidth="1"/>
    <col min="14338" max="14338" width="13.5703125" customWidth="1"/>
    <col min="14339" max="14339" width="66.7109375" customWidth="1"/>
    <col min="14340" max="14340" width="10.42578125" bestFit="1" customWidth="1"/>
    <col min="14341" max="14341" width="10.5703125" customWidth="1"/>
    <col min="14342" max="14342" width="10.85546875" customWidth="1"/>
    <col min="14343" max="14343" width="11.7109375" customWidth="1"/>
    <col min="14344" max="14345" width="9.42578125" bestFit="1" customWidth="1"/>
    <col min="14346" max="14346" width="11.140625" bestFit="1" customWidth="1"/>
    <col min="14347" max="14347" width="17.7109375" customWidth="1"/>
    <col min="14594" max="14594" width="13.5703125" customWidth="1"/>
    <col min="14595" max="14595" width="66.7109375" customWidth="1"/>
    <col min="14596" max="14596" width="10.42578125" bestFit="1" customWidth="1"/>
    <col min="14597" max="14597" width="10.5703125" customWidth="1"/>
    <col min="14598" max="14598" width="10.85546875" customWidth="1"/>
    <col min="14599" max="14599" width="11.7109375" customWidth="1"/>
    <col min="14600" max="14601" width="9.42578125" bestFit="1" customWidth="1"/>
    <col min="14602" max="14602" width="11.140625" bestFit="1" customWidth="1"/>
    <col min="14603" max="14603" width="17.7109375" customWidth="1"/>
    <col min="14850" max="14850" width="13.5703125" customWidth="1"/>
    <col min="14851" max="14851" width="66.7109375" customWidth="1"/>
    <col min="14852" max="14852" width="10.42578125" bestFit="1" customWidth="1"/>
    <col min="14853" max="14853" width="10.5703125" customWidth="1"/>
    <col min="14854" max="14854" width="10.85546875" customWidth="1"/>
    <col min="14855" max="14855" width="11.7109375" customWidth="1"/>
    <col min="14856" max="14857" width="9.42578125" bestFit="1" customWidth="1"/>
    <col min="14858" max="14858" width="11.140625" bestFit="1" customWidth="1"/>
    <col min="14859" max="14859" width="17.7109375" customWidth="1"/>
    <col min="15106" max="15106" width="13.5703125" customWidth="1"/>
    <col min="15107" max="15107" width="66.7109375" customWidth="1"/>
    <col min="15108" max="15108" width="10.42578125" bestFit="1" customWidth="1"/>
    <col min="15109" max="15109" width="10.5703125" customWidth="1"/>
    <col min="15110" max="15110" width="10.85546875" customWidth="1"/>
    <col min="15111" max="15111" width="11.7109375" customWidth="1"/>
    <col min="15112" max="15113" width="9.42578125" bestFit="1" customWidth="1"/>
    <col min="15114" max="15114" width="11.140625" bestFit="1" customWidth="1"/>
    <col min="15115" max="15115" width="17.7109375" customWidth="1"/>
    <col min="15362" max="15362" width="13.5703125" customWidth="1"/>
    <col min="15363" max="15363" width="66.7109375" customWidth="1"/>
    <col min="15364" max="15364" width="10.42578125" bestFit="1" customWidth="1"/>
    <col min="15365" max="15365" width="10.5703125" customWidth="1"/>
    <col min="15366" max="15366" width="10.85546875" customWidth="1"/>
    <col min="15367" max="15367" width="11.7109375" customWidth="1"/>
    <col min="15368" max="15369" width="9.42578125" bestFit="1" customWidth="1"/>
    <col min="15370" max="15370" width="11.140625" bestFit="1" customWidth="1"/>
    <col min="15371" max="15371" width="17.7109375" customWidth="1"/>
    <col min="15618" max="15618" width="13.5703125" customWidth="1"/>
    <col min="15619" max="15619" width="66.7109375" customWidth="1"/>
    <col min="15620" max="15620" width="10.42578125" bestFit="1" customWidth="1"/>
    <col min="15621" max="15621" width="10.5703125" customWidth="1"/>
    <col min="15622" max="15622" width="10.85546875" customWidth="1"/>
    <col min="15623" max="15623" width="11.7109375" customWidth="1"/>
    <col min="15624" max="15625" width="9.42578125" bestFit="1" customWidth="1"/>
    <col min="15626" max="15626" width="11.140625" bestFit="1" customWidth="1"/>
    <col min="15627" max="15627" width="17.7109375" customWidth="1"/>
    <col min="15874" max="15874" width="13.5703125" customWidth="1"/>
    <col min="15875" max="15875" width="66.7109375" customWidth="1"/>
    <col min="15876" max="15876" width="10.42578125" bestFit="1" customWidth="1"/>
    <col min="15877" max="15877" width="10.5703125" customWidth="1"/>
    <col min="15878" max="15878" width="10.85546875" customWidth="1"/>
    <col min="15879" max="15879" width="11.7109375" customWidth="1"/>
    <col min="15880" max="15881" width="9.42578125" bestFit="1" customWidth="1"/>
    <col min="15882" max="15882" width="11.140625" bestFit="1" customWidth="1"/>
    <col min="15883" max="15883" width="17.7109375" customWidth="1"/>
    <col min="16130" max="16130" width="13.5703125" customWidth="1"/>
    <col min="16131" max="16131" width="66.7109375" customWidth="1"/>
    <col min="16132" max="16132" width="10.42578125" bestFit="1" customWidth="1"/>
    <col min="16133" max="16133" width="10.5703125" customWidth="1"/>
    <col min="16134" max="16134" width="10.85546875" customWidth="1"/>
    <col min="16135" max="16135" width="11.7109375" customWidth="1"/>
    <col min="16136" max="16137" width="9.42578125" bestFit="1" customWidth="1"/>
    <col min="16138" max="16138" width="11.140625" bestFit="1" customWidth="1"/>
    <col min="16139" max="16139" width="17.7109375" customWidth="1"/>
  </cols>
  <sheetData>
    <row r="1" spans="2:15" ht="13.5" thickBot="1"/>
    <row r="2" spans="2:15" ht="20.100000000000001" customHeight="1">
      <c r="B2" s="809" t="s">
        <v>179</v>
      </c>
      <c r="C2" s="810"/>
      <c r="D2" s="810"/>
      <c r="E2" s="810"/>
      <c r="F2" s="810"/>
      <c r="G2" s="810"/>
      <c r="H2" s="810"/>
      <c r="I2" s="810"/>
      <c r="J2" s="810"/>
      <c r="K2" s="811"/>
    </row>
    <row r="3" spans="2:15" ht="20.100000000000001" customHeight="1" thickBot="1">
      <c r="B3" s="812"/>
      <c r="C3" s="813"/>
      <c r="D3" s="813"/>
      <c r="E3" s="813"/>
      <c r="F3" s="813"/>
      <c r="G3" s="813"/>
      <c r="H3" s="813"/>
      <c r="I3" s="813"/>
      <c r="J3" s="813"/>
      <c r="K3" s="814"/>
    </row>
    <row r="4" spans="2:15" ht="25.5">
      <c r="B4" s="821" t="s">
        <v>648</v>
      </c>
      <c r="C4" s="815" t="s">
        <v>189</v>
      </c>
      <c r="D4" s="817" t="s">
        <v>180</v>
      </c>
      <c r="E4" s="817" t="s">
        <v>181</v>
      </c>
      <c r="F4" s="325" t="s">
        <v>182</v>
      </c>
      <c r="G4" s="325" t="s">
        <v>183</v>
      </c>
      <c r="H4" s="325" t="s">
        <v>184</v>
      </c>
      <c r="I4" s="325" t="s">
        <v>185</v>
      </c>
      <c r="J4" s="325" t="s">
        <v>186</v>
      </c>
      <c r="K4" s="819" t="s">
        <v>273</v>
      </c>
      <c r="O4" s="326"/>
    </row>
    <row r="5" spans="2:15" ht="25.5">
      <c r="B5" s="822"/>
      <c r="C5" s="816"/>
      <c r="D5" s="818"/>
      <c r="E5" s="818"/>
      <c r="F5" s="323" t="s">
        <v>252</v>
      </c>
      <c r="G5" s="323" t="s">
        <v>187</v>
      </c>
      <c r="H5" s="323" t="s">
        <v>546</v>
      </c>
      <c r="I5" s="323" t="s">
        <v>188</v>
      </c>
      <c r="J5" s="323" t="s">
        <v>253</v>
      </c>
      <c r="K5" s="820"/>
    </row>
    <row r="6" spans="2:15" s="270" customFormat="1" ht="15" customHeight="1">
      <c r="B6" s="822"/>
      <c r="C6" s="327"/>
      <c r="D6" s="202"/>
      <c r="E6" s="202"/>
      <c r="F6" s="202"/>
      <c r="G6" s="202"/>
      <c r="H6" s="202"/>
      <c r="I6" s="204"/>
      <c r="J6" s="204"/>
      <c r="K6" s="203"/>
    </row>
    <row r="7" spans="2:15" s="270" customFormat="1" ht="15" customHeight="1">
      <c r="B7" s="822"/>
      <c r="C7" s="327" t="s">
        <v>657</v>
      </c>
      <c r="D7" s="202">
        <v>0</v>
      </c>
      <c r="E7" s="202">
        <v>0.6</v>
      </c>
      <c r="F7" s="202">
        <v>1.5</v>
      </c>
      <c r="G7" s="202">
        <v>1.8</v>
      </c>
      <c r="H7" s="202">
        <v>1.8</v>
      </c>
      <c r="I7" s="204">
        <f>SUM(G7:H7)/2</f>
        <v>1.8</v>
      </c>
      <c r="J7" s="204">
        <f>SUM(D7*F7*I7)</f>
        <v>0</v>
      </c>
      <c r="K7" s="203">
        <f>SUM(D7*F7)</f>
        <v>0</v>
      </c>
    </row>
    <row r="8" spans="2:15" s="270" customFormat="1" ht="15" customHeight="1">
      <c r="B8" s="822"/>
      <c r="C8" s="327"/>
      <c r="D8" s="202"/>
      <c r="E8" s="202"/>
      <c r="F8" s="202"/>
      <c r="G8" s="202"/>
      <c r="H8" s="202"/>
      <c r="I8" s="204"/>
      <c r="J8" s="204"/>
      <c r="K8" s="203"/>
    </row>
    <row r="9" spans="2:15" s="270" customFormat="1" ht="15" customHeight="1">
      <c r="B9" s="822"/>
      <c r="C9" s="327"/>
      <c r="D9" s="202"/>
      <c r="E9" s="202"/>
      <c r="F9" s="202"/>
      <c r="G9" s="202"/>
      <c r="H9" s="202"/>
      <c r="I9" s="204"/>
      <c r="J9" s="204"/>
      <c r="K9" s="203"/>
    </row>
    <row r="10" spans="2:15" s="270" customFormat="1" ht="15" customHeight="1">
      <c r="B10" s="822"/>
      <c r="C10" s="327"/>
      <c r="D10" s="202"/>
      <c r="E10" s="204"/>
      <c r="F10" s="204"/>
      <c r="G10" s="204"/>
      <c r="H10" s="204"/>
      <c r="I10" s="204"/>
      <c r="J10" s="205"/>
      <c r="K10" s="203"/>
    </row>
    <row r="11" spans="2:15" s="270" customFormat="1" ht="15" customHeight="1">
      <c r="B11" s="822"/>
      <c r="C11" s="327"/>
      <c r="D11" s="449"/>
      <c r="E11" s="206"/>
      <c r="F11" s="206"/>
      <c r="G11" s="206"/>
      <c r="H11" s="206"/>
      <c r="I11" s="206"/>
      <c r="J11" s="205"/>
      <c r="K11" s="203"/>
    </row>
    <row r="12" spans="2:15" s="270" customFormat="1" ht="15" customHeight="1">
      <c r="B12" s="822"/>
      <c r="C12" s="327"/>
      <c r="D12" s="449"/>
      <c r="E12" s="206"/>
      <c r="F12" s="206"/>
      <c r="G12" s="206"/>
      <c r="H12" s="206"/>
      <c r="I12" s="206"/>
      <c r="J12" s="205"/>
      <c r="K12" s="203"/>
    </row>
    <row r="13" spans="2:15" s="270" customFormat="1" ht="15" customHeight="1">
      <c r="B13" s="822"/>
      <c r="C13" s="327"/>
      <c r="D13" s="204"/>
      <c r="E13" s="206"/>
      <c r="F13" s="206"/>
      <c r="G13" s="206"/>
      <c r="H13" s="206"/>
      <c r="I13" s="206"/>
      <c r="J13" s="205"/>
      <c r="K13" s="203"/>
    </row>
    <row r="14" spans="2:15" s="270" customFormat="1" ht="15" customHeight="1">
      <c r="B14" s="822"/>
      <c r="C14" s="328"/>
      <c r="D14" s="207"/>
      <c r="E14" s="206"/>
      <c r="F14" s="208"/>
      <c r="G14" s="207"/>
      <c r="H14" s="207"/>
      <c r="I14" s="207"/>
      <c r="J14" s="207"/>
      <c r="K14" s="209"/>
    </row>
    <row r="15" spans="2:15" s="270" customFormat="1" ht="15" customHeight="1">
      <c r="B15" s="822"/>
      <c r="C15" s="329" t="s">
        <v>190</v>
      </c>
      <c r="D15" s="306"/>
      <c r="E15" s="306"/>
      <c r="F15" s="306"/>
      <c r="G15" s="306"/>
      <c r="H15" s="306"/>
      <c r="I15" s="306"/>
      <c r="J15" s="307"/>
      <c r="K15" s="308"/>
    </row>
    <row r="16" spans="2:15" s="270" customFormat="1" ht="15" customHeight="1" thickBot="1">
      <c r="B16" s="823"/>
      <c r="C16" s="330" t="s">
        <v>191</v>
      </c>
      <c r="D16" s="309"/>
      <c r="E16" s="310"/>
      <c r="F16" s="311"/>
      <c r="G16" s="309"/>
      <c r="H16" s="309"/>
      <c r="I16" s="309"/>
      <c r="J16" s="210"/>
      <c r="K16" s="312"/>
    </row>
    <row r="17" spans="2:13" ht="12.75" customHeight="1">
      <c r="B17" s="798" t="s">
        <v>648</v>
      </c>
      <c r="C17" s="801" t="s">
        <v>254</v>
      </c>
      <c r="D17" s="803" t="s">
        <v>265</v>
      </c>
      <c r="E17" s="805" t="s">
        <v>215</v>
      </c>
      <c r="F17" s="807" t="s">
        <v>215</v>
      </c>
      <c r="G17" s="792"/>
      <c r="H17" s="792"/>
      <c r="I17" s="792"/>
      <c r="J17" s="792"/>
      <c r="K17" s="793"/>
    </row>
    <row r="18" spans="2:13" ht="12.75" customHeight="1" thickBot="1">
      <c r="B18" s="799"/>
      <c r="C18" s="802"/>
      <c r="D18" s="804"/>
      <c r="E18" s="806"/>
      <c r="F18" s="808"/>
      <c r="G18" s="794"/>
      <c r="H18" s="794"/>
      <c r="I18" s="794"/>
      <c r="J18" s="794"/>
      <c r="K18" s="795"/>
    </row>
    <row r="19" spans="2:13" s="313" customFormat="1" ht="15" customHeight="1">
      <c r="B19" s="799"/>
      <c r="C19" s="327" t="s">
        <v>658</v>
      </c>
      <c r="D19" s="431">
        <v>1</v>
      </c>
      <c r="E19" s="306" t="s">
        <v>215</v>
      </c>
      <c r="F19" s="308" t="s">
        <v>215</v>
      </c>
      <c r="G19" s="794"/>
      <c r="H19" s="794"/>
      <c r="I19" s="794"/>
      <c r="J19" s="794"/>
      <c r="K19" s="795"/>
      <c r="M19" s="321"/>
    </row>
    <row r="20" spans="2:13" s="313" customFormat="1" ht="15" customHeight="1">
      <c r="B20" s="799"/>
      <c r="C20" s="327" t="s">
        <v>659</v>
      </c>
      <c r="D20" s="431">
        <v>2</v>
      </c>
      <c r="E20" s="306" t="s">
        <v>215</v>
      </c>
      <c r="F20" s="308" t="s">
        <v>215</v>
      </c>
      <c r="G20" s="794"/>
      <c r="H20" s="794"/>
      <c r="I20" s="794"/>
      <c r="J20" s="794"/>
      <c r="K20" s="795"/>
      <c r="M20" s="321"/>
    </row>
    <row r="21" spans="2:13" s="313" customFormat="1" ht="15" customHeight="1">
      <c r="B21" s="799"/>
      <c r="C21" s="327" t="s">
        <v>548</v>
      </c>
      <c r="D21" s="306" t="s">
        <v>215</v>
      </c>
      <c r="E21" s="306">
        <f>'NS Bueiros'!E14</f>
        <v>14</v>
      </c>
      <c r="F21" s="308" t="s">
        <v>8</v>
      </c>
      <c r="G21" s="794"/>
      <c r="H21" s="794"/>
      <c r="I21" s="794"/>
      <c r="J21" s="794"/>
      <c r="K21" s="795"/>
      <c r="M21" s="321"/>
    </row>
    <row r="22" spans="2:13" s="313" customFormat="1" ht="15" customHeight="1">
      <c r="B22" s="799"/>
      <c r="C22" s="327" t="s">
        <v>665</v>
      </c>
      <c r="D22" s="431">
        <v>2</v>
      </c>
      <c r="E22" s="306"/>
      <c r="F22" s="308"/>
      <c r="G22" s="794"/>
      <c r="H22" s="794"/>
      <c r="I22" s="794"/>
      <c r="J22" s="794"/>
      <c r="K22" s="795"/>
      <c r="M22" s="321"/>
    </row>
    <row r="23" spans="2:13" s="313" customFormat="1" ht="15" customHeight="1">
      <c r="B23" s="799"/>
      <c r="C23" s="327" t="s">
        <v>660</v>
      </c>
      <c r="D23" s="306"/>
      <c r="E23" s="306">
        <v>14</v>
      </c>
      <c r="F23" s="308" t="s">
        <v>8</v>
      </c>
      <c r="G23" s="794"/>
      <c r="H23" s="794"/>
      <c r="I23" s="794"/>
      <c r="J23" s="794"/>
      <c r="K23" s="795"/>
      <c r="M23" s="321"/>
    </row>
    <row r="24" spans="2:13" s="313" customFormat="1" ht="15" customHeight="1">
      <c r="B24" s="799"/>
      <c r="C24" s="327" t="s">
        <v>661</v>
      </c>
      <c r="D24" s="432" t="s">
        <v>215</v>
      </c>
      <c r="E24" s="433">
        <f>'NS Bueiros'!W16</f>
        <v>525.22568000000001</v>
      </c>
      <c r="F24" s="308" t="s">
        <v>4</v>
      </c>
      <c r="G24" s="794"/>
      <c r="H24" s="794"/>
      <c r="I24" s="794"/>
      <c r="J24" s="794"/>
      <c r="K24" s="795"/>
    </row>
    <row r="25" spans="2:13" s="313" customFormat="1" ht="15" customHeight="1">
      <c r="B25" s="799"/>
      <c r="C25" s="327" t="s">
        <v>662</v>
      </c>
      <c r="D25" s="306" t="s">
        <v>215</v>
      </c>
      <c r="E25" s="433">
        <f>'NS Bueiros'!X16</f>
        <v>336.86967999999996</v>
      </c>
      <c r="F25" s="308" t="s">
        <v>4</v>
      </c>
      <c r="G25" s="794"/>
      <c r="H25" s="794"/>
      <c r="I25" s="794"/>
      <c r="J25" s="794"/>
      <c r="K25" s="795"/>
      <c r="M25" s="321"/>
    </row>
    <row r="26" spans="2:13" s="313" customFormat="1" ht="15" customHeight="1">
      <c r="B26" s="799"/>
      <c r="C26" s="331" t="s">
        <v>525</v>
      </c>
      <c r="D26" s="434">
        <f>SUM(D7:D9)</f>
        <v>0</v>
      </c>
      <c r="E26" s="435">
        <f>0.76^2*3.1416*D26/4</f>
        <v>0</v>
      </c>
      <c r="F26" s="436" t="s">
        <v>4</v>
      </c>
      <c r="G26" s="794"/>
      <c r="H26" s="794"/>
      <c r="I26" s="794"/>
      <c r="J26" s="794"/>
      <c r="K26" s="795"/>
    </row>
    <row r="27" spans="2:13" s="313" customFormat="1" ht="15" customHeight="1">
      <c r="B27" s="799"/>
      <c r="C27" s="331" t="s">
        <v>549</v>
      </c>
      <c r="D27" s="434">
        <v>0</v>
      </c>
      <c r="E27" s="435">
        <f>0.92^2*3.1416*D27/4</f>
        <v>0</v>
      </c>
      <c r="F27" s="436" t="s">
        <v>4</v>
      </c>
      <c r="G27" s="794"/>
      <c r="H27" s="794"/>
      <c r="I27" s="794"/>
      <c r="J27" s="794"/>
      <c r="K27" s="795"/>
    </row>
    <row r="28" spans="2:13" s="313" customFormat="1" ht="15" customHeight="1">
      <c r="B28" s="799"/>
      <c r="C28" s="331" t="s">
        <v>672</v>
      </c>
      <c r="D28" s="448">
        <v>3</v>
      </c>
      <c r="E28" s="435">
        <f>SUM(J12)</f>
        <v>0</v>
      </c>
      <c r="F28" s="436" t="s">
        <v>4</v>
      </c>
      <c r="G28" s="794"/>
      <c r="H28" s="794"/>
      <c r="I28" s="794"/>
      <c r="J28" s="794"/>
      <c r="K28" s="795"/>
    </row>
    <row r="29" spans="2:13" s="313" customFormat="1" ht="15" customHeight="1">
      <c r="B29" s="799"/>
      <c r="C29" s="331" t="s">
        <v>675</v>
      </c>
      <c r="D29" s="448">
        <v>9</v>
      </c>
      <c r="E29" s="435">
        <f>SUM(J13)</f>
        <v>0</v>
      </c>
      <c r="F29" s="436" t="s">
        <v>4</v>
      </c>
      <c r="G29" s="794"/>
      <c r="H29" s="794"/>
      <c r="I29" s="794"/>
      <c r="J29" s="794"/>
      <c r="K29" s="795"/>
    </row>
    <row r="30" spans="2:13" s="313" customFormat="1" ht="15" customHeight="1">
      <c r="B30" s="799"/>
      <c r="C30" s="331" t="s">
        <v>255</v>
      </c>
      <c r="D30" s="437">
        <v>0</v>
      </c>
      <c r="E30" s="438">
        <f>SUM(E26:E29)+'NS Bueiros'!Y9+'NS Bueiros'!Y10</f>
        <v>188.35599999999999</v>
      </c>
      <c r="F30" s="436" t="s">
        <v>4</v>
      </c>
      <c r="G30" s="794"/>
      <c r="H30" s="794"/>
      <c r="I30" s="794"/>
      <c r="J30" s="794"/>
      <c r="K30" s="795"/>
    </row>
    <row r="31" spans="2:13" s="313" customFormat="1" ht="15" customHeight="1">
      <c r="B31" s="799"/>
      <c r="C31" s="331" t="s">
        <v>194</v>
      </c>
      <c r="D31" s="437">
        <v>0</v>
      </c>
      <c r="E31" s="439">
        <f>(J15-E30)+E25</f>
        <v>148.51367999999997</v>
      </c>
      <c r="F31" s="436" t="s">
        <v>4</v>
      </c>
      <c r="G31" s="794"/>
      <c r="H31" s="794"/>
      <c r="I31" s="794"/>
      <c r="J31" s="794"/>
      <c r="K31" s="795"/>
    </row>
    <row r="32" spans="2:13" s="313" customFormat="1" ht="15" customHeight="1">
      <c r="B32" s="799"/>
      <c r="C32" s="331" t="s">
        <v>192</v>
      </c>
      <c r="D32" s="437">
        <v>0</v>
      </c>
      <c r="E32" s="440">
        <f>K16</f>
        <v>0</v>
      </c>
      <c r="F32" s="436" t="s">
        <v>6</v>
      </c>
      <c r="G32" s="794"/>
      <c r="H32" s="794"/>
      <c r="I32" s="794"/>
      <c r="J32" s="794"/>
      <c r="K32" s="795"/>
    </row>
    <row r="33" spans="2:11" s="313" customFormat="1" ht="15" customHeight="1" thickBot="1">
      <c r="B33" s="800"/>
      <c r="C33" s="332" t="s">
        <v>216</v>
      </c>
      <c r="D33" s="441">
        <v>0</v>
      </c>
      <c r="E33" s="442">
        <f>K16*0.1</f>
        <v>0</v>
      </c>
      <c r="F33" s="443" t="s">
        <v>4</v>
      </c>
      <c r="G33" s="796"/>
      <c r="H33" s="796"/>
      <c r="I33" s="796"/>
      <c r="J33" s="796"/>
      <c r="K33" s="797"/>
    </row>
  </sheetData>
  <mergeCells count="12">
    <mergeCell ref="B2:K3"/>
    <mergeCell ref="C4:C5"/>
    <mergeCell ref="D4:D5"/>
    <mergeCell ref="E4:E5"/>
    <mergeCell ref="K4:K5"/>
    <mergeCell ref="B4:B16"/>
    <mergeCell ref="G17:K33"/>
    <mergeCell ref="B17:B33"/>
    <mergeCell ref="C17:C18"/>
    <mergeCell ref="D17:D18"/>
    <mergeCell ref="E17:E18"/>
    <mergeCell ref="F17:F18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I7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9E1EF-B32A-4A1B-9ABD-326FAF74BC39}">
  <sheetPr>
    <tabColor rgb="FF00B050"/>
  </sheetPr>
  <dimension ref="B1:AI26"/>
  <sheetViews>
    <sheetView showGridLines="0" zoomScaleNormal="100" zoomScaleSheetLayoutView="85" workbookViewId="0">
      <selection activeCell="R10" sqref="R10"/>
    </sheetView>
  </sheetViews>
  <sheetFormatPr defaultColWidth="12" defaultRowHeight="12.75"/>
  <cols>
    <col min="1" max="1" width="12" style="334"/>
    <col min="2" max="2" width="10.85546875" style="334" customWidth="1"/>
    <col min="3" max="3" width="12.85546875" style="334" customWidth="1"/>
    <col min="4" max="4" width="8.140625" style="334" customWidth="1"/>
    <col min="5" max="5" width="8.85546875" style="334" customWidth="1"/>
    <col min="6" max="6" width="8.140625" style="334" customWidth="1"/>
    <col min="7" max="7" width="8" style="334" customWidth="1"/>
    <col min="8" max="8" width="6.7109375" style="334" hidden="1" customWidth="1"/>
    <col min="9" max="9" width="6.42578125" style="334" hidden="1" customWidth="1"/>
    <col min="10" max="10" width="15.5703125" style="334" bestFit="1" customWidth="1"/>
    <col min="11" max="12" width="9.140625" style="334" customWidth="1"/>
    <col min="13" max="13" width="9" style="334" customWidth="1"/>
    <col min="14" max="14" width="5.7109375" style="334" customWidth="1"/>
    <col min="15" max="15" width="5.85546875" style="334" customWidth="1"/>
    <col min="16" max="16" width="7.85546875" style="334" customWidth="1"/>
    <col min="17" max="17" width="10.140625" style="334" customWidth="1"/>
    <col min="18" max="18" width="7.85546875" style="334" customWidth="1"/>
    <col min="19" max="20" width="7.85546875" style="334" hidden="1" customWidth="1"/>
    <col min="21" max="21" width="10.140625" style="334" hidden="1" customWidth="1"/>
    <col min="22" max="22" width="12.85546875" style="334" hidden="1" customWidth="1"/>
    <col min="23" max="23" width="13.140625" style="334" customWidth="1"/>
    <col min="24" max="24" width="12.28515625" style="334" customWidth="1"/>
    <col min="25" max="27" width="12.5703125" style="334" customWidth="1"/>
    <col min="28" max="28" width="11.140625" style="334" bestFit="1" customWidth="1"/>
    <col min="29" max="29" width="15.28515625" style="334" bestFit="1" customWidth="1"/>
    <col min="30" max="30" width="11.42578125" style="334" bestFit="1" customWidth="1"/>
    <col min="31" max="31" width="18.85546875" style="334" bestFit="1" customWidth="1"/>
    <col min="32" max="32" width="16.140625" style="334" bestFit="1" customWidth="1"/>
    <col min="33" max="257" width="12" style="334"/>
    <col min="258" max="258" width="10.85546875" style="334" customWidth="1"/>
    <col min="259" max="259" width="12.85546875" style="334" customWidth="1"/>
    <col min="260" max="260" width="8.140625" style="334" customWidth="1"/>
    <col min="261" max="261" width="8.85546875" style="334" customWidth="1"/>
    <col min="262" max="262" width="8.140625" style="334" customWidth="1"/>
    <col min="263" max="263" width="8" style="334" customWidth="1"/>
    <col min="264" max="265" width="0" style="334" hidden="1" customWidth="1"/>
    <col min="266" max="266" width="15.5703125" style="334" bestFit="1" customWidth="1"/>
    <col min="267" max="268" width="9.140625" style="334" customWidth="1"/>
    <col min="269" max="269" width="9" style="334" customWidth="1"/>
    <col min="270" max="270" width="5.7109375" style="334" customWidth="1"/>
    <col min="271" max="271" width="5.85546875" style="334" customWidth="1"/>
    <col min="272" max="272" width="7.85546875" style="334" customWidth="1"/>
    <col min="273" max="273" width="10.140625" style="334" customWidth="1"/>
    <col min="274" max="274" width="7.85546875" style="334" customWidth="1"/>
    <col min="275" max="277" width="0" style="334" hidden="1" customWidth="1"/>
    <col min="278" max="278" width="12.85546875" style="334" customWidth="1"/>
    <col min="279" max="279" width="11.7109375" style="334" customWidth="1"/>
    <col min="280" max="283" width="12.5703125" style="334" customWidth="1"/>
    <col min="284" max="284" width="12" style="334"/>
    <col min="285" max="285" width="17.140625" style="334" customWidth="1"/>
    <col min="286" max="288" width="15.85546875" style="334" customWidth="1"/>
    <col min="289" max="513" width="12" style="334"/>
    <col min="514" max="514" width="10.85546875" style="334" customWidth="1"/>
    <col min="515" max="515" width="12.85546875" style="334" customWidth="1"/>
    <col min="516" max="516" width="8.140625" style="334" customWidth="1"/>
    <col min="517" max="517" width="8.85546875" style="334" customWidth="1"/>
    <col min="518" max="518" width="8.140625" style="334" customWidth="1"/>
    <col min="519" max="519" width="8" style="334" customWidth="1"/>
    <col min="520" max="521" width="0" style="334" hidden="1" customWidth="1"/>
    <col min="522" max="522" width="15.5703125" style="334" bestFit="1" customWidth="1"/>
    <col min="523" max="524" width="9.140625" style="334" customWidth="1"/>
    <col min="525" max="525" width="9" style="334" customWidth="1"/>
    <col min="526" max="526" width="5.7109375" style="334" customWidth="1"/>
    <col min="527" max="527" width="5.85546875" style="334" customWidth="1"/>
    <col min="528" max="528" width="7.85546875" style="334" customWidth="1"/>
    <col min="529" max="529" width="10.140625" style="334" customWidth="1"/>
    <col min="530" max="530" width="7.85546875" style="334" customWidth="1"/>
    <col min="531" max="533" width="0" style="334" hidden="1" customWidth="1"/>
    <col min="534" max="534" width="12.85546875" style="334" customWidth="1"/>
    <col min="535" max="535" width="11.7109375" style="334" customWidth="1"/>
    <col min="536" max="539" width="12.5703125" style="334" customWidth="1"/>
    <col min="540" max="540" width="12" style="334"/>
    <col min="541" max="541" width="17.140625" style="334" customWidth="1"/>
    <col min="542" max="544" width="15.85546875" style="334" customWidth="1"/>
    <col min="545" max="769" width="12" style="334"/>
    <col min="770" max="770" width="10.85546875" style="334" customWidth="1"/>
    <col min="771" max="771" width="12.85546875" style="334" customWidth="1"/>
    <col min="772" max="772" width="8.140625" style="334" customWidth="1"/>
    <col min="773" max="773" width="8.85546875" style="334" customWidth="1"/>
    <col min="774" max="774" width="8.140625" style="334" customWidth="1"/>
    <col min="775" max="775" width="8" style="334" customWidth="1"/>
    <col min="776" max="777" width="0" style="334" hidden="1" customWidth="1"/>
    <col min="778" max="778" width="15.5703125" style="334" bestFit="1" customWidth="1"/>
    <col min="779" max="780" width="9.140625" style="334" customWidth="1"/>
    <col min="781" max="781" width="9" style="334" customWidth="1"/>
    <col min="782" max="782" width="5.7109375" style="334" customWidth="1"/>
    <col min="783" max="783" width="5.85546875" style="334" customWidth="1"/>
    <col min="784" max="784" width="7.85546875" style="334" customWidth="1"/>
    <col min="785" max="785" width="10.140625" style="334" customWidth="1"/>
    <col min="786" max="786" width="7.85546875" style="334" customWidth="1"/>
    <col min="787" max="789" width="0" style="334" hidden="1" customWidth="1"/>
    <col min="790" max="790" width="12.85546875" style="334" customWidth="1"/>
    <col min="791" max="791" width="11.7109375" style="334" customWidth="1"/>
    <col min="792" max="795" width="12.5703125" style="334" customWidth="1"/>
    <col min="796" max="796" width="12" style="334"/>
    <col min="797" max="797" width="17.140625" style="334" customWidth="1"/>
    <col min="798" max="800" width="15.85546875" style="334" customWidth="1"/>
    <col min="801" max="1025" width="12" style="334"/>
    <col min="1026" max="1026" width="10.85546875" style="334" customWidth="1"/>
    <col min="1027" max="1027" width="12.85546875" style="334" customWidth="1"/>
    <col min="1028" max="1028" width="8.140625" style="334" customWidth="1"/>
    <col min="1029" max="1029" width="8.85546875" style="334" customWidth="1"/>
    <col min="1030" max="1030" width="8.140625" style="334" customWidth="1"/>
    <col min="1031" max="1031" width="8" style="334" customWidth="1"/>
    <col min="1032" max="1033" width="0" style="334" hidden="1" customWidth="1"/>
    <col min="1034" max="1034" width="15.5703125" style="334" bestFit="1" customWidth="1"/>
    <col min="1035" max="1036" width="9.140625" style="334" customWidth="1"/>
    <col min="1037" max="1037" width="9" style="334" customWidth="1"/>
    <col min="1038" max="1038" width="5.7109375" style="334" customWidth="1"/>
    <col min="1039" max="1039" width="5.85546875" style="334" customWidth="1"/>
    <col min="1040" max="1040" width="7.85546875" style="334" customWidth="1"/>
    <col min="1041" max="1041" width="10.140625" style="334" customWidth="1"/>
    <col min="1042" max="1042" width="7.85546875" style="334" customWidth="1"/>
    <col min="1043" max="1045" width="0" style="334" hidden="1" customWidth="1"/>
    <col min="1046" max="1046" width="12.85546875" style="334" customWidth="1"/>
    <col min="1047" max="1047" width="11.7109375" style="334" customWidth="1"/>
    <col min="1048" max="1051" width="12.5703125" style="334" customWidth="1"/>
    <col min="1052" max="1052" width="12" style="334"/>
    <col min="1053" max="1053" width="17.140625" style="334" customWidth="1"/>
    <col min="1054" max="1056" width="15.85546875" style="334" customWidth="1"/>
    <col min="1057" max="1281" width="12" style="334"/>
    <col min="1282" max="1282" width="10.85546875" style="334" customWidth="1"/>
    <col min="1283" max="1283" width="12.85546875" style="334" customWidth="1"/>
    <col min="1284" max="1284" width="8.140625" style="334" customWidth="1"/>
    <col min="1285" max="1285" width="8.85546875" style="334" customWidth="1"/>
    <col min="1286" max="1286" width="8.140625" style="334" customWidth="1"/>
    <col min="1287" max="1287" width="8" style="334" customWidth="1"/>
    <col min="1288" max="1289" width="0" style="334" hidden="1" customWidth="1"/>
    <col min="1290" max="1290" width="15.5703125" style="334" bestFit="1" customWidth="1"/>
    <col min="1291" max="1292" width="9.140625" style="334" customWidth="1"/>
    <col min="1293" max="1293" width="9" style="334" customWidth="1"/>
    <col min="1294" max="1294" width="5.7109375" style="334" customWidth="1"/>
    <col min="1295" max="1295" width="5.85546875" style="334" customWidth="1"/>
    <col min="1296" max="1296" width="7.85546875" style="334" customWidth="1"/>
    <col min="1297" max="1297" width="10.140625" style="334" customWidth="1"/>
    <col min="1298" max="1298" width="7.85546875" style="334" customWidth="1"/>
    <col min="1299" max="1301" width="0" style="334" hidden="1" customWidth="1"/>
    <col min="1302" max="1302" width="12.85546875" style="334" customWidth="1"/>
    <col min="1303" max="1303" width="11.7109375" style="334" customWidth="1"/>
    <col min="1304" max="1307" width="12.5703125" style="334" customWidth="1"/>
    <col min="1308" max="1308" width="12" style="334"/>
    <col min="1309" max="1309" width="17.140625" style="334" customWidth="1"/>
    <col min="1310" max="1312" width="15.85546875" style="334" customWidth="1"/>
    <col min="1313" max="1537" width="12" style="334"/>
    <col min="1538" max="1538" width="10.85546875" style="334" customWidth="1"/>
    <col min="1539" max="1539" width="12.85546875" style="334" customWidth="1"/>
    <col min="1540" max="1540" width="8.140625" style="334" customWidth="1"/>
    <col min="1541" max="1541" width="8.85546875" style="334" customWidth="1"/>
    <col min="1542" max="1542" width="8.140625" style="334" customWidth="1"/>
    <col min="1543" max="1543" width="8" style="334" customWidth="1"/>
    <col min="1544" max="1545" width="0" style="334" hidden="1" customWidth="1"/>
    <col min="1546" max="1546" width="15.5703125" style="334" bestFit="1" customWidth="1"/>
    <col min="1547" max="1548" width="9.140625" style="334" customWidth="1"/>
    <col min="1549" max="1549" width="9" style="334" customWidth="1"/>
    <col min="1550" max="1550" width="5.7109375" style="334" customWidth="1"/>
    <col min="1551" max="1551" width="5.85546875" style="334" customWidth="1"/>
    <col min="1552" max="1552" width="7.85546875" style="334" customWidth="1"/>
    <col min="1553" max="1553" width="10.140625" style="334" customWidth="1"/>
    <col min="1554" max="1554" width="7.85546875" style="334" customWidth="1"/>
    <col min="1555" max="1557" width="0" style="334" hidden="1" customWidth="1"/>
    <col min="1558" max="1558" width="12.85546875" style="334" customWidth="1"/>
    <col min="1559" max="1559" width="11.7109375" style="334" customWidth="1"/>
    <col min="1560" max="1563" width="12.5703125" style="334" customWidth="1"/>
    <col min="1564" max="1564" width="12" style="334"/>
    <col min="1565" max="1565" width="17.140625" style="334" customWidth="1"/>
    <col min="1566" max="1568" width="15.85546875" style="334" customWidth="1"/>
    <col min="1569" max="1793" width="12" style="334"/>
    <col min="1794" max="1794" width="10.85546875" style="334" customWidth="1"/>
    <col min="1795" max="1795" width="12.85546875" style="334" customWidth="1"/>
    <col min="1796" max="1796" width="8.140625" style="334" customWidth="1"/>
    <col min="1797" max="1797" width="8.85546875" style="334" customWidth="1"/>
    <col min="1798" max="1798" width="8.140625" style="334" customWidth="1"/>
    <col min="1799" max="1799" width="8" style="334" customWidth="1"/>
    <col min="1800" max="1801" width="0" style="334" hidden="1" customWidth="1"/>
    <col min="1802" max="1802" width="15.5703125" style="334" bestFit="1" customWidth="1"/>
    <col min="1803" max="1804" width="9.140625" style="334" customWidth="1"/>
    <col min="1805" max="1805" width="9" style="334" customWidth="1"/>
    <col min="1806" max="1806" width="5.7109375" style="334" customWidth="1"/>
    <col min="1807" max="1807" width="5.85546875" style="334" customWidth="1"/>
    <col min="1808" max="1808" width="7.85546875" style="334" customWidth="1"/>
    <col min="1809" max="1809" width="10.140625" style="334" customWidth="1"/>
    <col min="1810" max="1810" width="7.85546875" style="334" customWidth="1"/>
    <col min="1811" max="1813" width="0" style="334" hidden="1" customWidth="1"/>
    <col min="1814" max="1814" width="12.85546875" style="334" customWidth="1"/>
    <col min="1815" max="1815" width="11.7109375" style="334" customWidth="1"/>
    <col min="1816" max="1819" width="12.5703125" style="334" customWidth="1"/>
    <col min="1820" max="1820" width="12" style="334"/>
    <col min="1821" max="1821" width="17.140625" style="334" customWidth="1"/>
    <col min="1822" max="1824" width="15.85546875" style="334" customWidth="1"/>
    <col min="1825" max="2049" width="12" style="334"/>
    <col min="2050" max="2050" width="10.85546875" style="334" customWidth="1"/>
    <col min="2051" max="2051" width="12.85546875" style="334" customWidth="1"/>
    <col min="2052" max="2052" width="8.140625" style="334" customWidth="1"/>
    <col min="2053" max="2053" width="8.85546875" style="334" customWidth="1"/>
    <col min="2054" max="2054" width="8.140625" style="334" customWidth="1"/>
    <col min="2055" max="2055" width="8" style="334" customWidth="1"/>
    <col min="2056" max="2057" width="0" style="334" hidden="1" customWidth="1"/>
    <col min="2058" max="2058" width="15.5703125" style="334" bestFit="1" customWidth="1"/>
    <col min="2059" max="2060" width="9.140625" style="334" customWidth="1"/>
    <col min="2061" max="2061" width="9" style="334" customWidth="1"/>
    <col min="2062" max="2062" width="5.7109375" style="334" customWidth="1"/>
    <col min="2063" max="2063" width="5.85546875" style="334" customWidth="1"/>
    <col min="2064" max="2064" width="7.85546875" style="334" customWidth="1"/>
    <col min="2065" max="2065" width="10.140625" style="334" customWidth="1"/>
    <col min="2066" max="2066" width="7.85546875" style="334" customWidth="1"/>
    <col min="2067" max="2069" width="0" style="334" hidden="1" customWidth="1"/>
    <col min="2070" max="2070" width="12.85546875" style="334" customWidth="1"/>
    <col min="2071" max="2071" width="11.7109375" style="334" customWidth="1"/>
    <col min="2072" max="2075" width="12.5703125" style="334" customWidth="1"/>
    <col min="2076" max="2076" width="12" style="334"/>
    <col min="2077" max="2077" width="17.140625" style="334" customWidth="1"/>
    <col min="2078" max="2080" width="15.85546875" style="334" customWidth="1"/>
    <col min="2081" max="2305" width="12" style="334"/>
    <col min="2306" max="2306" width="10.85546875" style="334" customWidth="1"/>
    <col min="2307" max="2307" width="12.85546875" style="334" customWidth="1"/>
    <col min="2308" max="2308" width="8.140625" style="334" customWidth="1"/>
    <col min="2309" max="2309" width="8.85546875" style="334" customWidth="1"/>
    <col min="2310" max="2310" width="8.140625" style="334" customWidth="1"/>
    <col min="2311" max="2311" width="8" style="334" customWidth="1"/>
    <col min="2312" max="2313" width="0" style="334" hidden="1" customWidth="1"/>
    <col min="2314" max="2314" width="15.5703125" style="334" bestFit="1" customWidth="1"/>
    <col min="2315" max="2316" width="9.140625" style="334" customWidth="1"/>
    <col min="2317" max="2317" width="9" style="334" customWidth="1"/>
    <col min="2318" max="2318" width="5.7109375" style="334" customWidth="1"/>
    <col min="2319" max="2319" width="5.85546875" style="334" customWidth="1"/>
    <col min="2320" max="2320" width="7.85546875" style="334" customWidth="1"/>
    <col min="2321" max="2321" width="10.140625" style="334" customWidth="1"/>
    <col min="2322" max="2322" width="7.85546875" style="334" customWidth="1"/>
    <col min="2323" max="2325" width="0" style="334" hidden="1" customWidth="1"/>
    <col min="2326" max="2326" width="12.85546875" style="334" customWidth="1"/>
    <col min="2327" max="2327" width="11.7109375" style="334" customWidth="1"/>
    <col min="2328" max="2331" width="12.5703125" style="334" customWidth="1"/>
    <col min="2332" max="2332" width="12" style="334"/>
    <col min="2333" max="2333" width="17.140625" style="334" customWidth="1"/>
    <col min="2334" max="2336" width="15.85546875" style="334" customWidth="1"/>
    <col min="2337" max="2561" width="12" style="334"/>
    <col min="2562" max="2562" width="10.85546875" style="334" customWidth="1"/>
    <col min="2563" max="2563" width="12.85546875" style="334" customWidth="1"/>
    <col min="2564" max="2564" width="8.140625" style="334" customWidth="1"/>
    <col min="2565" max="2565" width="8.85546875" style="334" customWidth="1"/>
    <col min="2566" max="2566" width="8.140625" style="334" customWidth="1"/>
    <col min="2567" max="2567" width="8" style="334" customWidth="1"/>
    <col min="2568" max="2569" width="0" style="334" hidden="1" customWidth="1"/>
    <col min="2570" max="2570" width="15.5703125" style="334" bestFit="1" customWidth="1"/>
    <col min="2571" max="2572" width="9.140625" style="334" customWidth="1"/>
    <col min="2573" max="2573" width="9" style="334" customWidth="1"/>
    <col min="2574" max="2574" width="5.7109375" style="334" customWidth="1"/>
    <col min="2575" max="2575" width="5.85546875" style="334" customWidth="1"/>
    <col min="2576" max="2576" width="7.85546875" style="334" customWidth="1"/>
    <col min="2577" max="2577" width="10.140625" style="334" customWidth="1"/>
    <col min="2578" max="2578" width="7.85546875" style="334" customWidth="1"/>
    <col min="2579" max="2581" width="0" style="334" hidden="1" customWidth="1"/>
    <col min="2582" max="2582" width="12.85546875" style="334" customWidth="1"/>
    <col min="2583" max="2583" width="11.7109375" style="334" customWidth="1"/>
    <col min="2584" max="2587" width="12.5703125" style="334" customWidth="1"/>
    <col min="2588" max="2588" width="12" style="334"/>
    <col min="2589" max="2589" width="17.140625" style="334" customWidth="1"/>
    <col min="2590" max="2592" width="15.85546875" style="334" customWidth="1"/>
    <col min="2593" max="2817" width="12" style="334"/>
    <col min="2818" max="2818" width="10.85546875" style="334" customWidth="1"/>
    <col min="2819" max="2819" width="12.85546875" style="334" customWidth="1"/>
    <col min="2820" max="2820" width="8.140625" style="334" customWidth="1"/>
    <col min="2821" max="2821" width="8.85546875" style="334" customWidth="1"/>
    <col min="2822" max="2822" width="8.140625" style="334" customWidth="1"/>
    <col min="2823" max="2823" width="8" style="334" customWidth="1"/>
    <col min="2824" max="2825" width="0" style="334" hidden="1" customWidth="1"/>
    <col min="2826" max="2826" width="15.5703125" style="334" bestFit="1" customWidth="1"/>
    <col min="2827" max="2828" width="9.140625" style="334" customWidth="1"/>
    <col min="2829" max="2829" width="9" style="334" customWidth="1"/>
    <col min="2830" max="2830" width="5.7109375" style="334" customWidth="1"/>
    <col min="2831" max="2831" width="5.85546875" style="334" customWidth="1"/>
    <col min="2832" max="2832" width="7.85546875" style="334" customWidth="1"/>
    <col min="2833" max="2833" width="10.140625" style="334" customWidth="1"/>
    <col min="2834" max="2834" width="7.85546875" style="334" customWidth="1"/>
    <col min="2835" max="2837" width="0" style="334" hidden="1" customWidth="1"/>
    <col min="2838" max="2838" width="12.85546875" style="334" customWidth="1"/>
    <col min="2839" max="2839" width="11.7109375" style="334" customWidth="1"/>
    <col min="2840" max="2843" width="12.5703125" style="334" customWidth="1"/>
    <col min="2844" max="2844" width="12" style="334"/>
    <col min="2845" max="2845" width="17.140625" style="334" customWidth="1"/>
    <col min="2846" max="2848" width="15.85546875" style="334" customWidth="1"/>
    <col min="2849" max="3073" width="12" style="334"/>
    <col min="3074" max="3074" width="10.85546875" style="334" customWidth="1"/>
    <col min="3075" max="3075" width="12.85546875" style="334" customWidth="1"/>
    <col min="3076" max="3076" width="8.140625" style="334" customWidth="1"/>
    <col min="3077" max="3077" width="8.85546875" style="334" customWidth="1"/>
    <col min="3078" max="3078" width="8.140625" style="334" customWidth="1"/>
    <col min="3079" max="3079" width="8" style="334" customWidth="1"/>
    <col min="3080" max="3081" width="0" style="334" hidden="1" customWidth="1"/>
    <col min="3082" max="3082" width="15.5703125" style="334" bestFit="1" customWidth="1"/>
    <col min="3083" max="3084" width="9.140625" style="334" customWidth="1"/>
    <col min="3085" max="3085" width="9" style="334" customWidth="1"/>
    <col min="3086" max="3086" width="5.7109375" style="334" customWidth="1"/>
    <col min="3087" max="3087" width="5.85546875" style="334" customWidth="1"/>
    <col min="3088" max="3088" width="7.85546875" style="334" customWidth="1"/>
    <col min="3089" max="3089" width="10.140625" style="334" customWidth="1"/>
    <col min="3090" max="3090" width="7.85546875" style="334" customWidth="1"/>
    <col min="3091" max="3093" width="0" style="334" hidden="1" customWidth="1"/>
    <col min="3094" max="3094" width="12.85546875" style="334" customWidth="1"/>
    <col min="3095" max="3095" width="11.7109375" style="334" customWidth="1"/>
    <col min="3096" max="3099" width="12.5703125" style="334" customWidth="1"/>
    <col min="3100" max="3100" width="12" style="334"/>
    <col min="3101" max="3101" width="17.140625" style="334" customWidth="1"/>
    <col min="3102" max="3104" width="15.85546875" style="334" customWidth="1"/>
    <col min="3105" max="3329" width="12" style="334"/>
    <col min="3330" max="3330" width="10.85546875" style="334" customWidth="1"/>
    <col min="3331" max="3331" width="12.85546875" style="334" customWidth="1"/>
    <col min="3332" max="3332" width="8.140625" style="334" customWidth="1"/>
    <col min="3333" max="3333" width="8.85546875" style="334" customWidth="1"/>
    <col min="3334" max="3334" width="8.140625" style="334" customWidth="1"/>
    <col min="3335" max="3335" width="8" style="334" customWidth="1"/>
    <col min="3336" max="3337" width="0" style="334" hidden="1" customWidth="1"/>
    <col min="3338" max="3338" width="15.5703125" style="334" bestFit="1" customWidth="1"/>
    <col min="3339" max="3340" width="9.140625" style="334" customWidth="1"/>
    <col min="3341" max="3341" width="9" style="334" customWidth="1"/>
    <col min="3342" max="3342" width="5.7109375" style="334" customWidth="1"/>
    <col min="3343" max="3343" width="5.85546875" style="334" customWidth="1"/>
    <col min="3344" max="3344" width="7.85546875" style="334" customWidth="1"/>
    <col min="3345" max="3345" width="10.140625" style="334" customWidth="1"/>
    <col min="3346" max="3346" width="7.85546875" style="334" customWidth="1"/>
    <col min="3347" max="3349" width="0" style="334" hidden="1" customWidth="1"/>
    <col min="3350" max="3350" width="12.85546875" style="334" customWidth="1"/>
    <col min="3351" max="3351" width="11.7109375" style="334" customWidth="1"/>
    <col min="3352" max="3355" width="12.5703125" style="334" customWidth="1"/>
    <col min="3356" max="3356" width="12" style="334"/>
    <col min="3357" max="3357" width="17.140625" style="334" customWidth="1"/>
    <col min="3358" max="3360" width="15.85546875" style="334" customWidth="1"/>
    <col min="3361" max="3585" width="12" style="334"/>
    <col min="3586" max="3586" width="10.85546875" style="334" customWidth="1"/>
    <col min="3587" max="3587" width="12.85546875" style="334" customWidth="1"/>
    <col min="3588" max="3588" width="8.140625" style="334" customWidth="1"/>
    <col min="3589" max="3589" width="8.85546875" style="334" customWidth="1"/>
    <col min="3590" max="3590" width="8.140625" style="334" customWidth="1"/>
    <col min="3591" max="3591" width="8" style="334" customWidth="1"/>
    <col min="3592" max="3593" width="0" style="334" hidden="1" customWidth="1"/>
    <col min="3594" max="3594" width="15.5703125" style="334" bestFit="1" customWidth="1"/>
    <col min="3595" max="3596" width="9.140625" style="334" customWidth="1"/>
    <col min="3597" max="3597" width="9" style="334" customWidth="1"/>
    <col min="3598" max="3598" width="5.7109375" style="334" customWidth="1"/>
    <col min="3599" max="3599" width="5.85546875" style="334" customWidth="1"/>
    <col min="3600" max="3600" width="7.85546875" style="334" customWidth="1"/>
    <col min="3601" max="3601" width="10.140625" style="334" customWidth="1"/>
    <col min="3602" max="3602" width="7.85546875" style="334" customWidth="1"/>
    <col min="3603" max="3605" width="0" style="334" hidden="1" customWidth="1"/>
    <col min="3606" max="3606" width="12.85546875" style="334" customWidth="1"/>
    <col min="3607" max="3607" width="11.7109375" style="334" customWidth="1"/>
    <col min="3608" max="3611" width="12.5703125" style="334" customWidth="1"/>
    <col min="3612" max="3612" width="12" style="334"/>
    <col min="3613" max="3613" width="17.140625" style="334" customWidth="1"/>
    <col min="3614" max="3616" width="15.85546875" style="334" customWidth="1"/>
    <col min="3617" max="3841" width="12" style="334"/>
    <col min="3842" max="3842" width="10.85546875" style="334" customWidth="1"/>
    <col min="3843" max="3843" width="12.85546875" style="334" customWidth="1"/>
    <col min="3844" max="3844" width="8.140625" style="334" customWidth="1"/>
    <col min="3845" max="3845" width="8.85546875" style="334" customWidth="1"/>
    <col min="3846" max="3846" width="8.140625" style="334" customWidth="1"/>
    <col min="3847" max="3847" width="8" style="334" customWidth="1"/>
    <col min="3848" max="3849" width="0" style="334" hidden="1" customWidth="1"/>
    <col min="3850" max="3850" width="15.5703125" style="334" bestFit="1" customWidth="1"/>
    <col min="3851" max="3852" width="9.140625" style="334" customWidth="1"/>
    <col min="3853" max="3853" width="9" style="334" customWidth="1"/>
    <col min="3854" max="3854" width="5.7109375" style="334" customWidth="1"/>
    <col min="3855" max="3855" width="5.85546875" style="334" customWidth="1"/>
    <col min="3856" max="3856" width="7.85546875" style="334" customWidth="1"/>
    <col min="3857" max="3857" width="10.140625" style="334" customWidth="1"/>
    <col min="3858" max="3858" width="7.85546875" style="334" customWidth="1"/>
    <col min="3859" max="3861" width="0" style="334" hidden="1" customWidth="1"/>
    <col min="3862" max="3862" width="12.85546875" style="334" customWidth="1"/>
    <col min="3863" max="3863" width="11.7109375" style="334" customWidth="1"/>
    <col min="3864" max="3867" width="12.5703125" style="334" customWidth="1"/>
    <col min="3868" max="3868" width="12" style="334"/>
    <col min="3869" max="3869" width="17.140625" style="334" customWidth="1"/>
    <col min="3870" max="3872" width="15.85546875" style="334" customWidth="1"/>
    <col min="3873" max="4097" width="12" style="334"/>
    <col min="4098" max="4098" width="10.85546875" style="334" customWidth="1"/>
    <col min="4099" max="4099" width="12.85546875" style="334" customWidth="1"/>
    <col min="4100" max="4100" width="8.140625" style="334" customWidth="1"/>
    <col min="4101" max="4101" width="8.85546875" style="334" customWidth="1"/>
    <col min="4102" max="4102" width="8.140625" style="334" customWidth="1"/>
    <col min="4103" max="4103" width="8" style="334" customWidth="1"/>
    <col min="4104" max="4105" width="0" style="334" hidden="1" customWidth="1"/>
    <col min="4106" max="4106" width="15.5703125" style="334" bestFit="1" customWidth="1"/>
    <col min="4107" max="4108" width="9.140625" style="334" customWidth="1"/>
    <col min="4109" max="4109" width="9" style="334" customWidth="1"/>
    <col min="4110" max="4110" width="5.7109375" style="334" customWidth="1"/>
    <col min="4111" max="4111" width="5.85546875" style="334" customWidth="1"/>
    <col min="4112" max="4112" width="7.85546875" style="334" customWidth="1"/>
    <col min="4113" max="4113" width="10.140625" style="334" customWidth="1"/>
    <col min="4114" max="4114" width="7.85546875" style="334" customWidth="1"/>
    <col min="4115" max="4117" width="0" style="334" hidden="1" customWidth="1"/>
    <col min="4118" max="4118" width="12.85546875" style="334" customWidth="1"/>
    <col min="4119" max="4119" width="11.7109375" style="334" customWidth="1"/>
    <col min="4120" max="4123" width="12.5703125" style="334" customWidth="1"/>
    <col min="4124" max="4124" width="12" style="334"/>
    <col min="4125" max="4125" width="17.140625" style="334" customWidth="1"/>
    <col min="4126" max="4128" width="15.85546875" style="334" customWidth="1"/>
    <col min="4129" max="4353" width="12" style="334"/>
    <col min="4354" max="4354" width="10.85546875" style="334" customWidth="1"/>
    <col min="4355" max="4355" width="12.85546875" style="334" customWidth="1"/>
    <col min="4356" max="4356" width="8.140625" style="334" customWidth="1"/>
    <col min="4357" max="4357" width="8.85546875" style="334" customWidth="1"/>
    <col min="4358" max="4358" width="8.140625" style="334" customWidth="1"/>
    <col min="4359" max="4359" width="8" style="334" customWidth="1"/>
    <col min="4360" max="4361" width="0" style="334" hidden="1" customWidth="1"/>
    <col min="4362" max="4362" width="15.5703125" style="334" bestFit="1" customWidth="1"/>
    <col min="4363" max="4364" width="9.140625" style="334" customWidth="1"/>
    <col min="4365" max="4365" width="9" style="334" customWidth="1"/>
    <col min="4366" max="4366" width="5.7109375" style="334" customWidth="1"/>
    <col min="4367" max="4367" width="5.85546875" style="334" customWidth="1"/>
    <col min="4368" max="4368" width="7.85546875" style="334" customWidth="1"/>
    <col min="4369" max="4369" width="10.140625" style="334" customWidth="1"/>
    <col min="4370" max="4370" width="7.85546875" style="334" customWidth="1"/>
    <col min="4371" max="4373" width="0" style="334" hidden="1" customWidth="1"/>
    <col min="4374" max="4374" width="12.85546875" style="334" customWidth="1"/>
    <col min="4375" max="4375" width="11.7109375" style="334" customWidth="1"/>
    <col min="4376" max="4379" width="12.5703125" style="334" customWidth="1"/>
    <col min="4380" max="4380" width="12" style="334"/>
    <col min="4381" max="4381" width="17.140625" style="334" customWidth="1"/>
    <col min="4382" max="4384" width="15.85546875" style="334" customWidth="1"/>
    <col min="4385" max="4609" width="12" style="334"/>
    <col min="4610" max="4610" width="10.85546875" style="334" customWidth="1"/>
    <col min="4611" max="4611" width="12.85546875" style="334" customWidth="1"/>
    <col min="4612" max="4612" width="8.140625" style="334" customWidth="1"/>
    <col min="4613" max="4613" width="8.85546875" style="334" customWidth="1"/>
    <col min="4614" max="4614" width="8.140625" style="334" customWidth="1"/>
    <col min="4615" max="4615" width="8" style="334" customWidth="1"/>
    <col min="4616" max="4617" width="0" style="334" hidden="1" customWidth="1"/>
    <col min="4618" max="4618" width="15.5703125" style="334" bestFit="1" customWidth="1"/>
    <col min="4619" max="4620" width="9.140625" style="334" customWidth="1"/>
    <col min="4621" max="4621" width="9" style="334" customWidth="1"/>
    <col min="4622" max="4622" width="5.7109375" style="334" customWidth="1"/>
    <col min="4623" max="4623" width="5.85546875" style="334" customWidth="1"/>
    <col min="4624" max="4624" width="7.85546875" style="334" customWidth="1"/>
    <col min="4625" max="4625" width="10.140625" style="334" customWidth="1"/>
    <col min="4626" max="4626" width="7.85546875" style="334" customWidth="1"/>
    <col min="4627" max="4629" width="0" style="334" hidden="1" customWidth="1"/>
    <col min="4630" max="4630" width="12.85546875" style="334" customWidth="1"/>
    <col min="4631" max="4631" width="11.7109375" style="334" customWidth="1"/>
    <col min="4632" max="4635" width="12.5703125" style="334" customWidth="1"/>
    <col min="4636" max="4636" width="12" style="334"/>
    <col min="4637" max="4637" width="17.140625" style="334" customWidth="1"/>
    <col min="4638" max="4640" width="15.85546875" style="334" customWidth="1"/>
    <col min="4641" max="4865" width="12" style="334"/>
    <col min="4866" max="4866" width="10.85546875" style="334" customWidth="1"/>
    <col min="4867" max="4867" width="12.85546875" style="334" customWidth="1"/>
    <col min="4868" max="4868" width="8.140625" style="334" customWidth="1"/>
    <col min="4869" max="4869" width="8.85546875" style="334" customWidth="1"/>
    <col min="4870" max="4870" width="8.140625" style="334" customWidth="1"/>
    <col min="4871" max="4871" width="8" style="334" customWidth="1"/>
    <col min="4872" max="4873" width="0" style="334" hidden="1" customWidth="1"/>
    <col min="4874" max="4874" width="15.5703125" style="334" bestFit="1" customWidth="1"/>
    <col min="4875" max="4876" width="9.140625" style="334" customWidth="1"/>
    <col min="4877" max="4877" width="9" style="334" customWidth="1"/>
    <col min="4878" max="4878" width="5.7109375" style="334" customWidth="1"/>
    <col min="4879" max="4879" width="5.85546875" style="334" customWidth="1"/>
    <col min="4880" max="4880" width="7.85546875" style="334" customWidth="1"/>
    <col min="4881" max="4881" width="10.140625" style="334" customWidth="1"/>
    <col min="4882" max="4882" width="7.85546875" style="334" customWidth="1"/>
    <col min="4883" max="4885" width="0" style="334" hidden="1" customWidth="1"/>
    <col min="4886" max="4886" width="12.85546875" style="334" customWidth="1"/>
    <col min="4887" max="4887" width="11.7109375" style="334" customWidth="1"/>
    <col min="4888" max="4891" width="12.5703125" style="334" customWidth="1"/>
    <col min="4892" max="4892" width="12" style="334"/>
    <col min="4893" max="4893" width="17.140625" style="334" customWidth="1"/>
    <col min="4894" max="4896" width="15.85546875" style="334" customWidth="1"/>
    <col min="4897" max="5121" width="12" style="334"/>
    <col min="5122" max="5122" width="10.85546875" style="334" customWidth="1"/>
    <col min="5123" max="5123" width="12.85546875" style="334" customWidth="1"/>
    <col min="5124" max="5124" width="8.140625" style="334" customWidth="1"/>
    <col min="5125" max="5125" width="8.85546875" style="334" customWidth="1"/>
    <col min="5126" max="5126" width="8.140625" style="334" customWidth="1"/>
    <col min="5127" max="5127" width="8" style="334" customWidth="1"/>
    <col min="5128" max="5129" width="0" style="334" hidden="1" customWidth="1"/>
    <col min="5130" max="5130" width="15.5703125" style="334" bestFit="1" customWidth="1"/>
    <col min="5131" max="5132" width="9.140625" style="334" customWidth="1"/>
    <col min="5133" max="5133" width="9" style="334" customWidth="1"/>
    <col min="5134" max="5134" width="5.7109375" style="334" customWidth="1"/>
    <col min="5135" max="5135" width="5.85546875" style="334" customWidth="1"/>
    <col min="5136" max="5136" width="7.85546875" style="334" customWidth="1"/>
    <col min="5137" max="5137" width="10.140625" style="334" customWidth="1"/>
    <col min="5138" max="5138" width="7.85546875" style="334" customWidth="1"/>
    <col min="5139" max="5141" width="0" style="334" hidden="1" customWidth="1"/>
    <col min="5142" max="5142" width="12.85546875" style="334" customWidth="1"/>
    <col min="5143" max="5143" width="11.7109375" style="334" customWidth="1"/>
    <col min="5144" max="5147" width="12.5703125" style="334" customWidth="1"/>
    <col min="5148" max="5148" width="12" style="334"/>
    <col min="5149" max="5149" width="17.140625" style="334" customWidth="1"/>
    <col min="5150" max="5152" width="15.85546875" style="334" customWidth="1"/>
    <col min="5153" max="5377" width="12" style="334"/>
    <col min="5378" max="5378" width="10.85546875" style="334" customWidth="1"/>
    <col min="5379" max="5379" width="12.85546875" style="334" customWidth="1"/>
    <col min="5380" max="5380" width="8.140625" style="334" customWidth="1"/>
    <col min="5381" max="5381" width="8.85546875" style="334" customWidth="1"/>
    <col min="5382" max="5382" width="8.140625" style="334" customWidth="1"/>
    <col min="5383" max="5383" width="8" style="334" customWidth="1"/>
    <col min="5384" max="5385" width="0" style="334" hidden="1" customWidth="1"/>
    <col min="5386" max="5386" width="15.5703125" style="334" bestFit="1" customWidth="1"/>
    <col min="5387" max="5388" width="9.140625" style="334" customWidth="1"/>
    <col min="5389" max="5389" width="9" style="334" customWidth="1"/>
    <col min="5390" max="5390" width="5.7109375" style="334" customWidth="1"/>
    <col min="5391" max="5391" width="5.85546875" style="334" customWidth="1"/>
    <col min="5392" max="5392" width="7.85546875" style="334" customWidth="1"/>
    <col min="5393" max="5393" width="10.140625" style="334" customWidth="1"/>
    <col min="5394" max="5394" width="7.85546875" style="334" customWidth="1"/>
    <col min="5395" max="5397" width="0" style="334" hidden="1" customWidth="1"/>
    <col min="5398" max="5398" width="12.85546875" style="334" customWidth="1"/>
    <col min="5399" max="5399" width="11.7109375" style="334" customWidth="1"/>
    <col min="5400" max="5403" width="12.5703125" style="334" customWidth="1"/>
    <col min="5404" max="5404" width="12" style="334"/>
    <col min="5405" max="5405" width="17.140625" style="334" customWidth="1"/>
    <col min="5406" max="5408" width="15.85546875" style="334" customWidth="1"/>
    <col min="5409" max="5633" width="12" style="334"/>
    <col min="5634" max="5634" width="10.85546875" style="334" customWidth="1"/>
    <col min="5635" max="5635" width="12.85546875" style="334" customWidth="1"/>
    <col min="5636" max="5636" width="8.140625" style="334" customWidth="1"/>
    <col min="5637" max="5637" width="8.85546875" style="334" customWidth="1"/>
    <col min="5638" max="5638" width="8.140625" style="334" customWidth="1"/>
    <col min="5639" max="5639" width="8" style="334" customWidth="1"/>
    <col min="5640" max="5641" width="0" style="334" hidden="1" customWidth="1"/>
    <col min="5642" max="5642" width="15.5703125" style="334" bestFit="1" customWidth="1"/>
    <col min="5643" max="5644" width="9.140625" style="334" customWidth="1"/>
    <col min="5645" max="5645" width="9" style="334" customWidth="1"/>
    <col min="5646" max="5646" width="5.7109375" style="334" customWidth="1"/>
    <col min="5647" max="5647" width="5.85546875" style="334" customWidth="1"/>
    <col min="5648" max="5648" width="7.85546875" style="334" customWidth="1"/>
    <col min="5649" max="5649" width="10.140625" style="334" customWidth="1"/>
    <col min="5650" max="5650" width="7.85546875" style="334" customWidth="1"/>
    <col min="5651" max="5653" width="0" style="334" hidden="1" customWidth="1"/>
    <col min="5654" max="5654" width="12.85546875" style="334" customWidth="1"/>
    <col min="5655" max="5655" width="11.7109375" style="334" customWidth="1"/>
    <col min="5656" max="5659" width="12.5703125" style="334" customWidth="1"/>
    <col min="5660" max="5660" width="12" style="334"/>
    <col min="5661" max="5661" width="17.140625" style="334" customWidth="1"/>
    <col min="5662" max="5664" width="15.85546875" style="334" customWidth="1"/>
    <col min="5665" max="5889" width="12" style="334"/>
    <col min="5890" max="5890" width="10.85546875" style="334" customWidth="1"/>
    <col min="5891" max="5891" width="12.85546875" style="334" customWidth="1"/>
    <col min="5892" max="5892" width="8.140625" style="334" customWidth="1"/>
    <col min="5893" max="5893" width="8.85546875" style="334" customWidth="1"/>
    <col min="5894" max="5894" width="8.140625" style="334" customWidth="1"/>
    <col min="5895" max="5895" width="8" style="334" customWidth="1"/>
    <col min="5896" max="5897" width="0" style="334" hidden="1" customWidth="1"/>
    <col min="5898" max="5898" width="15.5703125" style="334" bestFit="1" customWidth="1"/>
    <col min="5899" max="5900" width="9.140625" style="334" customWidth="1"/>
    <col min="5901" max="5901" width="9" style="334" customWidth="1"/>
    <col min="5902" max="5902" width="5.7109375" style="334" customWidth="1"/>
    <col min="5903" max="5903" width="5.85546875" style="334" customWidth="1"/>
    <col min="5904" max="5904" width="7.85546875" style="334" customWidth="1"/>
    <col min="5905" max="5905" width="10.140625" style="334" customWidth="1"/>
    <col min="5906" max="5906" width="7.85546875" style="334" customWidth="1"/>
    <col min="5907" max="5909" width="0" style="334" hidden="1" customWidth="1"/>
    <col min="5910" max="5910" width="12.85546875" style="334" customWidth="1"/>
    <col min="5911" max="5911" width="11.7109375" style="334" customWidth="1"/>
    <col min="5912" max="5915" width="12.5703125" style="334" customWidth="1"/>
    <col min="5916" max="5916" width="12" style="334"/>
    <col min="5917" max="5917" width="17.140625" style="334" customWidth="1"/>
    <col min="5918" max="5920" width="15.85546875" style="334" customWidth="1"/>
    <col min="5921" max="6145" width="12" style="334"/>
    <col min="6146" max="6146" width="10.85546875" style="334" customWidth="1"/>
    <col min="6147" max="6147" width="12.85546875" style="334" customWidth="1"/>
    <col min="6148" max="6148" width="8.140625" style="334" customWidth="1"/>
    <col min="6149" max="6149" width="8.85546875" style="334" customWidth="1"/>
    <col min="6150" max="6150" width="8.140625" style="334" customWidth="1"/>
    <col min="6151" max="6151" width="8" style="334" customWidth="1"/>
    <col min="6152" max="6153" width="0" style="334" hidden="1" customWidth="1"/>
    <col min="6154" max="6154" width="15.5703125" style="334" bestFit="1" customWidth="1"/>
    <col min="6155" max="6156" width="9.140625" style="334" customWidth="1"/>
    <col min="6157" max="6157" width="9" style="334" customWidth="1"/>
    <col min="6158" max="6158" width="5.7109375" style="334" customWidth="1"/>
    <col min="6159" max="6159" width="5.85546875" style="334" customWidth="1"/>
    <col min="6160" max="6160" width="7.85546875" style="334" customWidth="1"/>
    <col min="6161" max="6161" width="10.140625" style="334" customWidth="1"/>
    <col min="6162" max="6162" width="7.85546875" style="334" customWidth="1"/>
    <col min="6163" max="6165" width="0" style="334" hidden="1" customWidth="1"/>
    <col min="6166" max="6166" width="12.85546875" style="334" customWidth="1"/>
    <col min="6167" max="6167" width="11.7109375" style="334" customWidth="1"/>
    <col min="6168" max="6171" width="12.5703125" style="334" customWidth="1"/>
    <col min="6172" max="6172" width="12" style="334"/>
    <col min="6173" max="6173" width="17.140625" style="334" customWidth="1"/>
    <col min="6174" max="6176" width="15.85546875" style="334" customWidth="1"/>
    <col min="6177" max="6401" width="12" style="334"/>
    <col min="6402" max="6402" width="10.85546875" style="334" customWidth="1"/>
    <col min="6403" max="6403" width="12.85546875" style="334" customWidth="1"/>
    <col min="6404" max="6404" width="8.140625" style="334" customWidth="1"/>
    <col min="6405" max="6405" width="8.85546875" style="334" customWidth="1"/>
    <col min="6406" max="6406" width="8.140625" style="334" customWidth="1"/>
    <col min="6407" max="6407" width="8" style="334" customWidth="1"/>
    <col min="6408" max="6409" width="0" style="334" hidden="1" customWidth="1"/>
    <col min="6410" max="6410" width="15.5703125" style="334" bestFit="1" customWidth="1"/>
    <col min="6411" max="6412" width="9.140625" style="334" customWidth="1"/>
    <col min="6413" max="6413" width="9" style="334" customWidth="1"/>
    <col min="6414" max="6414" width="5.7109375" style="334" customWidth="1"/>
    <col min="6415" max="6415" width="5.85546875" style="334" customWidth="1"/>
    <col min="6416" max="6416" width="7.85546875" style="334" customWidth="1"/>
    <col min="6417" max="6417" width="10.140625" style="334" customWidth="1"/>
    <col min="6418" max="6418" width="7.85546875" style="334" customWidth="1"/>
    <col min="6419" max="6421" width="0" style="334" hidden="1" customWidth="1"/>
    <col min="6422" max="6422" width="12.85546875" style="334" customWidth="1"/>
    <col min="6423" max="6423" width="11.7109375" style="334" customWidth="1"/>
    <col min="6424" max="6427" width="12.5703125" style="334" customWidth="1"/>
    <col min="6428" max="6428" width="12" style="334"/>
    <col min="6429" max="6429" width="17.140625" style="334" customWidth="1"/>
    <col min="6430" max="6432" width="15.85546875" style="334" customWidth="1"/>
    <col min="6433" max="6657" width="12" style="334"/>
    <col min="6658" max="6658" width="10.85546875" style="334" customWidth="1"/>
    <col min="6659" max="6659" width="12.85546875" style="334" customWidth="1"/>
    <col min="6660" max="6660" width="8.140625" style="334" customWidth="1"/>
    <col min="6661" max="6661" width="8.85546875" style="334" customWidth="1"/>
    <col min="6662" max="6662" width="8.140625" style="334" customWidth="1"/>
    <col min="6663" max="6663" width="8" style="334" customWidth="1"/>
    <col min="6664" max="6665" width="0" style="334" hidden="1" customWidth="1"/>
    <col min="6666" max="6666" width="15.5703125" style="334" bestFit="1" customWidth="1"/>
    <col min="6667" max="6668" width="9.140625" style="334" customWidth="1"/>
    <col min="6669" max="6669" width="9" style="334" customWidth="1"/>
    <col min="6670" max="6670" width="5.7109375" style="334" customWidth="1"/>
    <col min="6671" max="6671" width="5.85546875" style="334" customWidth="1"/>
    <col min="6672" max="6672" width="7.85546875" style="334" customWidth="1"/>
    <col min="6673" max="6673" width="10.140625" style="334" customWidth="1"/>
    <col min="6674" max="6674" width="7.85546875" style="334" customWidth="1"/>
    <col min="6675" max="6677" width="0" style="334" hidden="1" customWidth="1"/>
    <col min="6678" max="6678" width="12.85546875" style="334" customWidth="1"/>
    <col min="6679" max="6679" width="11.7109375" style="334" customWidth="1"/>
    <col min="6680" max="6683" width="12.5703125" style="334" customWidth="1"/>
    <col min="6684" max="6684" width="12" style="334"/>
    <col min="6685" max="6685" width="17.140625" style="334" customWidth="1"/>
    <col min="6686" max="6688" width="15.85546875" style="334" customWidth="1"/>
    <col min="6689" max="6913" width="12" style="334"/>
    <col min="6914" max="6914" width="10.85546875" style="334" customWidth="1"/>
    <col min="6915" max="6915" width="12.85546875" style="334" customWidth="1"/>
    <col min="6916" max="6916" width="8.140625" style="334" customWidth="1"/>
    <col min="6917" max="6917" width="8.85546875" style="334" customWidth="1"/>
    <col min="6918" max="6918" width="8.140625" style="334" customWidth="1"/>
    <col min="6919" max="6919" width="8" style="334" customWidth="1"/>
    <col min="6920" max="6921" width="0" style="334" hidden="1" customWidth="1"/>
    <col min="6922" max="6922" width="15.5703125" style="334" bestFit="1" customWidth="1"/>
    <col min="6923" max="6924" width="9.140625" style="334" customWidth="1"/>
    <col min="6925" max="6925" width="9" style="334" customWidth="1"/>
    <col min="6926" max="6926" width="5.7109375" style="334" customWidth="1"/>
    <col min="6927" max="6927" width="5.85546875" style="334" customWidth="1"/>
    <col min="6928" max="6928" width="7.85546875" style="334" customWidth="1"/>
    <col min="6929" max="6929" width="10.140625" style="334" customWidth="1"/>
    <col min="6930" max="6930" width="7.85546875" style="334" customWidth="1"/>
    <col min="6931" max="6933" width="0" style="334" hidden="1" customWidth="1"/>
    <col min="6934" max="6934" width="12.85546875" style="334" customWidth="1"/>
    <col min="6935" max="6935" width="11.7109375" style="334" customWidth="1"/>
    <col min="6936" max="6939" width="12.5703125" style="334" customWidth="1"/>
    <col min="6940" max="6940" width="12" style="334"/>
    <col min="6941" max="6941" width="17.140625" style="334" customWidth="1"/>
    <col min="6942" max="6944" width="15.85546875" style="334" customWidth="1"/>
    <col min="6945" max="7169" width="12" style="334"/>
    <col min="7170" max="7170" width="10.85546875" style="334" customWidth="1"/>
    <col min="7171" max="7171" width="12.85546875" style="334" customWidth="1"/>
    <col min="7172" max="7172" width="8.140625" style="334" customWidth="1"/>
    <col min="7173" max="7173" width="8.85546875" style="334" customWidth="1"/>
    <col min="7174" max="7174" width="8.140625" style="334" customWidth="1"/>
    <col min="7175" max="7175" width="8" style="334" customWidth="1"/>
    <col min="7176" max="7177" width="0" style="334" hidden="1" customWidth="1"/>
    <col min="7178" max="7178" width="15.5703125" style="334" bestFit="1" customWidth="1"/>
    <col min="7179" max="7180" width="9.140625" style="334" customWidth="1"/>
    <col min="7181" max="7181" width="9" style="334" customWidth="1"/>
    <col min="7182" max="7182" width="5.7109375" style="334" customWidth="1"/>
    <col min="7183" max="7183" width="5.85546875" style="334" customWidth="1"/>
    <col min="7184" max="7184" width="7.85546875" style="334" customWidth="1"/>
    <col min="7185" max="7185" width="10.140625" style="334" customWidth="1"/>
    <col min="7186" max="7186" width="7.85546875" style="334" customWidth="1"/>
    <col min="7187" max="7189" width="0" style="334" hidden="1" customWidth="1"/>
    <col min="7190" max="7190" width="12.85546875" style="334" customWidth="1"/>
    <col min="7191" max="7191" width="11.7109375" style="334" customWidth="1"/>
    <col min="7192" max="7195" width="12.5703125" style="334" customWidth="1"/>
    <col min="7196" max="7196" width="12" style="334"/>
    <col min="7197" max="7197" width="17.140625" style="334" customWidth="1"/>
    <col min="7198" max="7200" width="15.85546875" style="334" customWidth="1"/>
    <col min="7201" max="7425" width="12" style="334"/>
    <col min="7426" max="7426" width="10.85546875" style="334" customWidth="1"/>
    <col min="7427" max="7427" width="12.85546875" style="334" customWidth="1"/>
    <col min="7428" max="7428" width="8.140625" style="334" customWidth="1"/>
    <col min="7429" max="7429" width="8.85546875" style="334" customWidth="1"/>
    <col min="7430" max="7430" width="8.140625" style="334" customWidth="1"/>
    <col min="7431" max="7431" width="8" style="334" customWidth="1"/>
    <col min="7432" max="7433" width="0" style="334" hidden="1" customWidth="1"/>
    <col min="7434" max="7434" width="15.5703125" style="334" bestFit="1" customWidth="1"/>
    <col min="7435" max="7436" width="9.140625" style="334" customWidth="1"/>
    <col min="7437" max="7437" width="9" style="334" customWidth="1"/>
    <col min="7438" max="7438" width="5.7109375" style="334" customWidth="1"/>
    <col min="7439" max="7439" width="5.85546875" style="334" customWidth="1"/>
    <col min="7440" max="7440" width="7.85546875" style="334" customWidth="1"/>
    <col min="7441" max="7441" width="10.140625" style="334" customWidth="1"/>
    <col min="7442" max="7442" width="7.85546875" style="334" customWidth="1"/>
    <col min="7443" max="7445" width="0" style="334" hidden="1" customWidth="1"/>
    <col min="7446" max="7446" width="12.85546875" style="334" customWidth="1"/>
    <col min="7447" max="7447" width="11.7109375" style="334" customWidth="1"/>
    <col min="7448" max="7451" width="12.5703125" style="334" customWidth="1"/>
    <col min="7452" max="7452" width="12" style="334"/>
    <col min="7453" max="7453" width="17.140625" style="334" customWidth="1"/>
    <col min="7454" max="7456" width="15.85546875" style="334" customWidth="1"/>
    <col min="7457" max="7681" width="12" style="334"/>
    <col min="7682" max="7682" width="10.85546875" style="334" customWidth="1"/>
    <col min="7683" max="7683" width="12.85546875" style="334" customWidth="1"/>
    <col min="7684" max="7684" width="8.140625" style="334" customWidth="1"/>
    <col min="7685" max="7685" width="8.85546875" style="334" customWidth="1"/>
    <col min="7686" max="7686" width="8.140625" style="334" customWidth="1"/>
    <col min="7687" max="7687" width="8" style="334" customWidth="1"/>
    <col min="7688" max="7689" width="0" style="334" hidden="1" customWidth="1"/>
    <col min="7690" max="7690" width="15.5703125" style="334" bestFit="1" customWidth="1"/>
    <col min="7691" max="7692" width="9.140625" style="334" customWidth="1"/>
    <col min="7693" max="7693" width="9" style="334" customWidth="1"/>
    <col min="7694" max="7694" width="5.7109375" style="334" customWidth="1"/>
    <col min="7695" max="7695" width="5.85546875" style="334" customWidth="1"/>
    <col min="7696" max="7696" width="7.85546875" style="334" customWidth="1"/>
    <col min="7697" max="7697" width="10.140625" style="334" customWidth="1"/>
    <col min="7698" max="7698" width="7.85546875" style="334" customWidth="1"/>
    <col min="7699" max="7701" width="0" style="334" hidden="1" customWidth="1"/>
    <col min="7702" max="7702" width="12.85546875" style="334" customWidth="1"/>
    <col min="7703" max="7703" width="11.7109375" style="334" customWidth="1"/>
    <col min="7704" max="7707" width="12.5703125" style="334" customWidth="1"/>
    <col min="7708" max="7708" width="12" style="334"/>
    <col min="7709" max="7709" width="17.140625" style="334" customWidth="1"/>
    <col min="7710" max="7712" width="15.85546875" style="334" customWidth="1"/>
    <col min="7713" max="7937" width="12" style="334"/>
    <col min="7938" max="7938" width="10.85546875" style="334" customWidth="1"/>
    <col min="7939" max="7939" width="12.85546875" style="334" customWidth="1"/>
    <col min="7940" max="7940" width="8.140625" style="334" customWidth="1"/>
    <col min="7941" max="7941" width="8.85546875" style="334" customWidth="1"/>
    <col min="7942" max="7942" width="8.140625" style="334" customWidth="1"/>
    <col min="7943" max="7943" width="8" style="334" customWidth="1"/>
    <col min="7944" max="7945" width="0" style="334" hidden="1" customWidth="1"/>
    <col min="7946" max="7946" width="15.5703125" style="334" bestFit="1" customWidth="1"/>
    <col min="7947" max="7948" width="9.140625" style="334" customWidth="1"/>
    <col min="7949" max="7949" width="9" style="334" customWidth="1"/>
    <col min="7950" max="7950" width="5.7109375" style="334" customWidth="1"/>
    <col min="7951" max="7951" width="5.85546875" style="334" customWidth="1"/>
    <col min="7952" max="7952" width="7.85546875" style="334" customWidth="1"/>
    <col min="7953" max="7953" width="10.140625" style="334" customWidth="1"/>
    <col min="7954" max="7954" width="7.85546875" style="334" customWidth="1"/>
    <col min="7955" max="7957" width="0" style="334" hidden="1" customWidth="1"/>
    <col min="7958" max="7958" width="12.85546875" style="334" customWidth="1"/>
    <col min="7959" max="7959" width="11.7109375" style="334" customWidth="1"/>
    <col min="7960" max="7963" width="12.5703125" style="334" customWidth="1"/>
    <col min="7964" max="7964" width="12" style="334"/>
    <col min="7965" max="7965" width="17.140625" style="334" customWidth="1"/>
    <col min="7966" max="7968" width="15.85546875" style="334" customWidth="1"/>
    <col min="7969" max="8193" width="12" style="334"/>
    <col min="8194" max="8194" width="10.85546875" style="334" customWidth="1"/>
    <col min="8195" max="8195" width="12.85546875" style="334" customWidth="1"/>
    <col min="8196" max="8196" width="8.140625" style="334" customWidth="1"/>
    <col min="8197" max="8197" width="8.85546875" style="334" customWidth="1"/>
    <col min="8198" max="8198" width="8.140625" style="334" customWidth="1"/>
    <col min="8199" max="8199" width="8" style="334" customWidth="1"/>
    <col min="8200" max="8201" width="0" style="334" hidden="1" customWidth="1"/>
    <col min="8202" max="8202" width="15.5703125" style="334" bestFit="1" customWidth="1"/>
    <col min="8203" max="8204" width="9.140625" style="334" customWidth="1"/>
    <col min="8205" max="8205" width="9" style="334" customWidth="1"/>
    <col min="8206" max="8206" width="5.7109375" style="334" customWidth="1"/>
    <col min="8207" max="8207" width="5.85546875" style="334" customWidth="1"/>
    <col min="8208" max="8208" width="7.85546875" style="334" customWidth="1"/>
    <col min="8209" max="8209" width="10.140625" style="334" customWidth="1"/>
    <col min="8210" max="8210" width="7.85546875" style="334" customWidth="1"/>
    <col min="8211" max="8213" width="0" style="334" hidden="1" customWidth="1"/>
    <col min="8214" max="8214" width="12.85546875" style="334" customWidth="1"/>
    <col min="8215" max="8215" width="11.7109375" style="334" customWidth="1"/>
    <col min="8216" max="8219" width="12.5703125" style="334" customWidth="1"/>
    <col min="8220" max="8220" width="12" style="334"/>
    <col min="8221" max="8221" width="17.140625" style="334" customWidth="1"/>
    <col min="8222" max="8224" width="15.85546875" style="334" customWidth="1"/>
    <col min="8225" max="8449" width="12" style="334"/>
    <col min="8450" max="8450" width="10.85546875" style="334" customWidth="1"/>
    <col min="8451" max="8451" width="12.85546875" style="334" customWidth="1"/>
    <col min="8452" max="8452" width="8.140625" style="334" customWidth="1"/>
    <col min="8453" max="8453" width="8.85546875" style="334" customWidth="1"/>
    <col min="8454" max="8454" width="8.140625" style="334" customWidth="1"/>
    <col min="8455" max="8455" width="8" style="334" customWidth="1"/>
    <col min="8456" max="8457" width="0" style="334" hidden="1" customWidth="1"/>
    <col min="8458" max="8458" width="15.5703125" style="334" bestFit="1" customWidth="1"/>
    <col min="8459" max="8460" width="9.140625" style="334" customWidth="1"/>
    <col min="8461" max="8461" width="9" style="334" customWidth="1"/>
    <col min="8462" max="8462" width="5.7109375" style="334" customWidth="1"/>
    <col min="8463" max="8463" width="5.85546875" style="334" customWidth="1"/>
    <col min="8464" max="8464" width="7.85546875" style="334" customWidth="1"/>
    <col min="8465" max="8465" width="10.140625" style="334" customWidth="1"/>
    <col min="8466" max="8466" width="7.85546875" style="334" customWidth="1"/>
    <col min="8467" max="8469" width="0" style="334" hidden="1" customWidth="1"/>
    <col min="8470" max="8470" width="12.85546875" style="334" customWidth="1"/>
    <col min="8471" max="8471" width="11.7109375" style="334" customWidth="1"/>
    <col min="8472" max="8475" width="12.5703125" style="334" customWidth="1"/>
    <col min="8476" max="8476" width="12" style="334"/>
    <col min="8477" max="8477" width="17.140625" style="334" customWidth="1"/>
    <col min="8478" max="8480" width="15.85546875" style="334" customWidth="1"/>
    <col min="8481" max="8705" width="12" style="334"/>
    <col min="8706" max="8706" width="10.85546875" style="334" customWidth="1"/>
    <col min="8707" max="8707" width="12.85546875" style="334" customWidth="1"/>
    <col min="8708" max="8708" width="8.140625" style="334" customWidth="1"/>
    <col min="8709" max="8709" width="8.85546875" style="334" customWidth="1"/>
    <col min="8710" max="8710" width="8.140625" style="334" customWidth="1"/>
    <col min="8711" max="8711" width="8" style="334" customWidth="1"/>
    <col min="8712" max="8713" width="0" style="334" hidden="1" customWidth="1"/>
    <col min="8714" max="8714" width="15.5703125" style="334" bestFit="1" customWidth="1"/>
    <col min="8715" max="8716" width="9.140625" style="334" customWidth="1"/>
    <col min="8717" max="8717" width="9" style="334" customWidth="1"/>
    <col min="8718" max="8718" width="5.7109375" style="334" customWidth="1"/>
    <col min="8719" max="8719" width="5.85546875" style="334" customWidth="1"/>
    <col min="8720" max="8720" width="7.85546875" style="334" customWidth="1"/>
    <col min="8721" max="8721" width="10.140625" style="334" customWidth="1"/>
    <col min="8722" max="8722" width="7.85546875" style="334" customWidth="1"/>
    <col min="8723" max="8725" width="0" style="334" hidden="1" customWidth="1"/>
    <col min="8726" max="8726" width="12.85546875" style="334" customWidth="1"/>
    <col min="8727" max="8727" width="11.7109375" style="334" customWidth="1"/>
    <col min="8728" max="8731" width="12.5703125" style="334" customWidth="1"/>
    <col min="8732" max="8732" width="12" style="334"/>
    <col min="8733" max="8733" width="17.140625" style="334" customWidth="1"/>
    <col min="8734" max="8736" width="15.85546875" style="334" customWidth="1"/>
    <col min="8737" max="8961" width="12" style="334"/>
    <col min="8962" max="8962" width="10.85546875" style="334" customWidth="1"/>
    <col min="8963" max="8963" width="12.85546875" style="334" customWidth="1"/>
    <col min="8964" max="8964" width="8.140625" style="334" customWidth="1"/>
    <col min="8965" max="8965" width="8.85546875" style="334" customWidth="1"/>
    <col min="8966" max="8966" width="8.140625" style="334" customWidth="1"/>
    <col min="8967" max="8967" width="8" style="334" customWidth="1"/>
    <col min="8968" max="8969" width="0" style="334" hidden="1" customWidth="1"/>
    <col min="8970" max="8970" width="15.5703125" style="334" bestFit="1" customWidth="1"/>
    <col min="8971" max="8972" width="9.140625" style="334" customWidth="1"/>
    <col min="8973" max="8973" width="9" style="334" customWidth="1"/>
    <col min="8974" max="8974" width="5.7109375" style="334" customWidth="1"/>
    <col min="8975" max="8975" width="5.85546875" style="334" customWidth="1"/>
    <col min="8976" max="8976" width="7.85546875" style="334" customWidth="1"/>
    <col min="8977" max="8977" width="10.140625" style="334" customWidth="1"/>
    <col min="8978" max="8978" width="7.85546875" style="334" customWidth="1"/>
    <col min="8979" max="8981" width="0" style="334" hidden="1" customWidth="1"/>
    <col min="8982" max="8982" width="12.85546875" style="334" customWidth="1"/>
    <col min="8983" max="8983" width="11.7109375" style="334" customWidth="1"/>
    <col min="8984" max="8987" width="12.5703125" style="334" customWidth="1"/>
    <col min="8988" max="8988" width="12" style="334"/>
    <col min="8989" max="8989" width="17.140625" style="334" customWidth="1"/>
    <col min="8990" max="8992" width="15.85546875" style="334" customWidth="1"/>
    <col min="8993" max="9217" width="12" style="334"/>
    <col min="9218" max="9218" width="10.85546875" style="334" customWidth="1"/>
    <col min="9219" max="9219" width="12.85546875" style="334" customWidth="1"/>
    <col min="9220" max="9220" width="8.140625" style="334" customWidth="1"/>
    <col min="9221" max="9221" width="8.85546875" style="334" customWidth="1"/>
    <col min="9222" max="9222" width="8.140625" style="334" customWidth="1"/>
    <col min="9223" max="9223" width="8" style="334" customWidth="1"/>
    <col min="9224" max="9225" width="0" style="334" hidden="1" customWidth="1"/>
    <col min="9226" max="9226" width="15.5703125" style="334" bestFit="1" customWidth="1"/>
    <col min="9227" max="9228" width="9.140625" style="334" customWidth="1"/>
    <col min="9229" max="9229" width="9" style="334" customWidth="1"/>
    <col min="9230" max="9230" width="5.7109375" style="334" customWidth="1"/>
    <col min="9231" max="9231" width="5.85546875" style="334" customWidth="1"/>
    <col min="9232" max="9232" width="7.85546875" style="334" customWidth="1"/>
    <col min="9233" max="9233" width="10.140625" style="334" customWidth="1"/>
    <col min="9234" max="9234" width="7.85546875" style="334" customWidth="1"/>
    <col min="9235" max="9237" width="0" style="334" hidden="1" customWidth="1"/>
    <col min="9238" max="9238" width="12.85546875" style="334" customWidth="1"/>
    <col min="9239" max="9239" width="11.7109375" style="334" customWidth="1"/>
    <col min="9240" max="9243" width="12.5703125" style="334" customWidth="1"/>
    <col min="9244" max="9244" width="12" style="334"/>
    <col min="9245" max="9245" width="17.140625" style="334" customWidth="1"/>
    <col min="9246" max="9248" width="15.85546875" style="334" customWidth="1"/>
    <col min="9249" max="9473" width="12" style="334"/>
    <col min="9474" max="9474" width="10.85546875" style="334" customWidth="1"/>
    <col min="9475" max="9475" width="12.85546875" style="334" customWidth="1"/>
    <col min="9476" max="9476" width="8.140625" style="334" customWidth="1"/>
    <col min="9477" max="9477" width="8.85546875" style="334" customWidth="1"/>
    <col min="9478" max="9478" width="8.140625" style="334" customWidth="1"/>
    <col min="9479" max="9479" width="8" style="334" customWidth="1"/>
    <col min="9480" max="9481" width="0" style="334" hidden="1" customWidth="1"/>
    <col min="9482" max="9482" width="15.5703125" style="334" bestFit="1" customWidth="1"/>
    <col min="9483" max="9484" width="9.140625" style="334" customWidth="1"/>
    <col min="9485" max="9485" width="9" style="334" customWidth="1"/>
    <col min="9486" max="9486" width="5.7109375" style="334" customWidth="1"/>
    <col min="9487" max="9487" width="5.85546875" style="334" customWidth="1"/>
    <col min="9488" max="9488" width="7.85546875" style="334" customWidth="1"/>
    <col min="9489" max="9489" width="10.140625" style="334" customWidth="1"/>
    <col min="9490" max="9490" width="7.85546875" style="334" customWidth="1"/>
    <col min="9491" max="9493" width="0" style="334" hidden="1" customWidth="1"/>
    <col min="9494" max="9494" width="12.85546875" style="334" customWidth="1"/>
    <col min="9495" max="9495" width="11.7109375" style="334" customWidth="1"/>
    <col min="9496" max="9499" width="12.5703125" style="334" customWidth="1"/>
    <col min="9500" max="9500" width="12" style="334"/>
    <col min="9501" max="9501" width="17.140625" style="334" customWidth="1"/>
    <col min="9502" max="9504" width="15.85546875" style="334" customWidth="1"/>
    <col min="9505" max="9729" width="12" style="334"/>
    <col min="9730" max="9730" width="10.85546875" style="334" customWidth="1"/>
    <col min="9731" max="9731" width="12.85546875" style="334" customWidth="1"/>
    <col min="9732" max="9732" width="8.140625" style="334" customWidth="1"/>
    <col min="9733" max="9733" width="8.85546875" style="334" customWidth="1"/>
    <col min="9734" max="9734" width="8.140625" style="334" customWidth="1"/>
    <col min="9735" max="9735" width="8" style="334" customWidth="1"/>
    <col min="9736" max="9737" width="0" style="334" hidden="1" customWidth="1"/>
    <col min="9738" max="9738" width="15.5703125" style="334" bestFit="1" customWidth="1"/>
    <col min="9739" max="9740" width="9.140625" style="334" customWidth="1"/>
    <col min="9741" max="9741" width="9" style="334" customWidth="1"/>
    <col min="9742" max="9742" width="5.7109375" style="334" customWidth="1"/>
    <col min="9743" max="9743" width="5.85546875" style="334" customWidth="1"/>
    <col min="9744" max="9744" width="7.85546875" style="334" customWidth="1"/>
    <col min="9745" max="9745" width="10.140625" style="334" customWidth="1"/>
    <col min="9746" max="9746" width="7.85546875" style="334" customWidth="1"/>
    <col min="9747" max="9749" width="0" style="334" hidden="1" customWidth="1"/>
    <col min="9750" max="9750" width="12.85546875" style="334" customWidth="1"/>
    <col min="9751" max="9751" width="11.7109375" style="334" customWidth="1"/>
    <col min="9752" max="9755" width="12.5703125" style="334" customWidth="1"/>
    <col min="9756" max="9756" width="12" style="334"/>
    <col min="9757" max="9757" width="17.140625" style="334" customWidth="1"/>
    <col min="9758" max="9760" width="15.85546875" style="334" customWidth="1"/>
    <col min="9761" max="9985" width="12" style="334"/>
    <col min="9986" max="9986" width="10.85546875" style="334" customWidth="1"/>
    <col min="9987" max="9987" width="12.85546875" style="334" customWidth="1"/>
    <col min="9988" max="9988" width="8.140625" style="334" customWidth="1"/>
    <col min="9989" max="9989" width="8.85546875" style="334" customWidth="1"/>
    <col min="9990" max="9990" width="8.140625" style="334" customWidth="1"/>
    <col min="9991" max="9991" width="8" style="334" customWidth="1"/>
    <col min="9992" max="9993" width="0" style="334" hidden="1" customWidth="1"/>
    <col min="9994" max="9994" width="15.5703125" style="334" bestFit="1" customWidth="1"/>
    <col min="9995" max="9996" width="9.140625" style="334" customWidth="1"/>
    <col min="9997" max="9997" width="9" style="334" customWidth="1"/>
    <col min="9998" max="9998" width="5.7109375" style="334" customWidth="1"/>
    <col min="9999" max="9999" width="5.85546875" style="334" customWidth="1"/>
    <col min="10000" max="10000" width="7.85546875" style="334" customWidth="1"/>
    <col min="10001" max="10001" width="10.140625" style="334" customWidth="1"/>
    <col min="10002" max="10002" width="7.85546875" style="334" customWidth="1"/>
    <col min="10003" max="10005" width="0" style="334" hidden="1" customWidth="1"/>
    <col min="10006" max="10006" width="12.85546875" style="334" customWidth="1"/>
    <col min="10007" max="10007" width="11.7109375" style="334" customWidth="1"/>
    <col min="10008" max="10011" width="12.5703125" style="334" customWidth="1"/>
    <col min="10012" max="10012" width="12" style="334"/>
    <col min="10013" max="10013" width="17.140625" style="334" customWidth="1"/>
    <col min="10014" max="10016" width="15.85546875" style="334" customWidth="1"/>
    <col min="10017" max="10241" width="12" style="334"/>
    <col min="10242" max="10242" width="10.85546875" style="334" customWidth="1"/>
    <col min="10243" max="10243" width="12.85546875" style="334" customWidth="1"/>
    <col min="10244" max="10244" width="8.140625" style="334" customWidth="1"/>
    <col min="10245" max="10245" width="8.85546875" style="334" customWidth="1"/>
    <col min="10246" max="10246" width="8.140625" style="334" customWidth="1"/>
    <col min="10247" max="10247" width="8" style="334" customWidth="1"/>
    <col min="10248" max="10249" width="0" style="334" hidden="1" customWidth="1"/>
    <col min="10250" max="10250" width="15.5703125" style="334" bestFit="1" customWidth="1"/>
    <col min="10251" max="10252" width="9.140625" style="334" customWidth="1"/>
    <col min="10253" max="10253" width="9" style="334" customWidth="1"/>
    <col min="10254" max="10254" width="5.7109375" style="334" customWidth="1"/>
    <col min="10255" max="10255" width="5.85546875" style="334" customWidth="1"/>
    <col min="10256" max="10256" width="7.85546875" style="334" customWidth="1"/>
    <col min="10257" max="10257" width="10.140625" style="334" customWidth="1"/>
    <col min="10258" max="10258" width="7.85546875" style="334" customWidth="1"/>
    <col min="10259" max="10261" width="0" style="334" hidden="1" customWidth="1"/>
    <col min="10262" max="10262" width="12.85546875" style="334" customWidth="1"/>
    <col min="10263" max="10263" width="11.7109375" style="334" customWidth="1"/>
    <col min="10264" max="10267" width="12.5703125" style="334" customWidth="1"/>
    <col min="10268" max="10268" width="12" style="334"/>
    <col min="10269" max="10269" width="17.140625" style="334" customWidth="1"/>
    <col min="10270" max="10272" width="15.85546875" style="334" customWidth="1"/>
    <col min="10273" max="10497" width="12" style="334"/>
    <col min="10498" max="10498" width="10.85546875" style="334" customWidth="1"/>
    <col min="10499" max="10499" width="12.85546875" style="334" customWidth="1"/>
    <col min="10500" max="10500" width="8.140625" style="334" customWidth="1"/>
    <col min="10501" max="10501" width="8.85546875" style="334" customWidth="1"/>
    <col min="10502" max="10502" width="8.140625" style="334" customWidth="1"/>
    <col min="10503" max="10503" width="8" style="334" customWidth="1"/>
    <col min="10504" max="10505" width="0" style="334" hidden="1" customWidth="1"/>
    <col min="10506" max="10506" width="15.5703125" style="334" bestFit="1" customWidth="1"/>
    <col min="10507" max="10508" width="9.140625" style="334" customWidth="1"/>
    <col min="10509" max="10509" width="9" style="334" customWidth="1"/>
    <col min="10510" max="10510" width="5.7109375" style="334" customWidth="1"/>
    <col min="10511" max="10511" width="5.85546875" style="334" customWidth="1"/>
    <col min="10512" max="10512" width="7.85546875" style="334" customWidth="1"/>
    <col min="10513" max="10513" width="10.140625" style="334" customWidth="1"/>
    <col min="10514" max="10514" width="7.85546875" style="334" customWidth="1"/>
    <col min="10515" max="10517" width="0" style="334" hidden="1" customWidth="1"/>
    <col min="10518" max="10518" width="12.85546875" style="334" customWidth="1"/>
    <col min="10519" max="10519" width="11.7109375" style="334" customWidth="1"/>
    <col min="10520" max="10523" width="12.5703125" style="334" customWidth="1"/>
    <col min="10524" max="10524" width="12" style="334"/>
    <col min="10525" max="10525" width="17.140625" style="334" customWidth="1"/>
    <col min="10526" max="10528" width="15.85546875" style="334" customWidth="1"/>
    <col min="10529" max="10753" width="12" style="334"/>
    <col min="10754" max="10754" width="10.85546875" style="334" customWidth="1"/>
    <col min="10755" max="10755" width="12.85546875" style="334" customWidth="1"/>
    <col min="10756" max="10756" width="8.140625" style="334" customWidth="1"/>
    <col min="10757" max="10757" width="8.85546875" style="334" customWidth="1"/>
    <col min="10758" max="10758" width="8.140625" style="334" customWidth="1"/>
    <col min="10759" max="10759" width="8" style="334" customWidth="1"/>
    <col min="10760" max="10761" width="0" style="334" hidden="1" customWidth="1"/>
    <col min="10762" max="10762" width="15.5703125" style="334" bestFit="1" customWidth="1"/>
    <col min="10763" max="10764" width="9.140625" style="334" customWidth="1"/>
    <col min="10765" max="10765" width="9" style="334" customWidth="1"/>
    <col min="10766" max="10766" width="5.7109375" style="334" customWidth="1"/>
    <col min="10767" max="10767" width="5.85546875" style="334" customWidth="1"/>
    <col min="10768" max="10768" width="7.85546875" style="334" customWidth="1"/>
    <col min="10769" max="10769" width="10.140625" style="334" customWidth="1"/>
    <col min="10770" max="10770" width="7.85546875" style="334" customWidth="1"/>
    <col min="10771" max="10773" width="0" style="334" hidden="1" customWidth="1"/>
    <col min="10774" max="10774" width="12.85546875" style="334" customWidth="1"/>
    <col min="10775" max="10775" width="11.7109375" style="334" customWidth="1"/>
    <col min="10776" max="10779" width="12.5703125" style="334" customWidth="1"/>
    <col min="10780" max="10780" width="12" style="334"/>
    <col min="10781" max="10781" width="17.140625" style="334" customWidth="1"/>
    <col min="10782" max="10784" width="15.85546875" style="334" customWidth="1"/>
    <col min="10785" max="11009" width="12" style="334"/>
    <col min="11010" max="11010" width="10.85546875" style="334" customWidth="1"/>
    <col min="11011" max="11011" width="12.85546875" style="334" customWidth="1"/>
    <col min="11012" max="11012" width="8.140625" style="334" customWidth="1"/>
    <col min="11013" max="11013" width="8.85546875" style="334" customWidth="1"/>
    <col min="11014" max="11014" width="8.140625" style="334" customWidth="1"/>
    <col min="11015" max="11015" width="8" style="334" customWidth="1"/>
    <col min="11016" max="11017" width="0" style="334" hidden="1" customWidth="1"/>
    <col min="11018" max="11018" width="15.5703125" style="334" bestFit="1" customWidth="1"/>
    <col min="11019" max="11020" width="9.140625" style="334" customWidth="1"/>
    <col min="11021" max="11021" width="9" style="334" customWidth="1"/>
    <col min="11022" max="11022" width="5.7109375" style="334" customWidth="1"/>
    <col min="11023" max="11023" width="5.85546875" style="334" customWidth="1"/>
    <col min="11024" max="11024" width="7.85546875" style="334" customWidth="1"/>
    <col min="11025" max="11025" width="10.140625" style="334" customWidth="1"/>
    <col min="11026" max="11026" width="7.85546875" style="334" customWidth="1"/>
    <col min="11027" max="11029" width="0" style="334" hidden="1" customWidth="1"/>
    <col min="11030" max="11030" width="12.85546875" style="334" customWidth="1"/>
    <col min="11031" max="11031" width="11.7109375" style="334" customWidth="1"/>
    <col min="11032" max="11035" width="12.5703125" style="334" customWidth="1"/>
    <col min="11036" max="11036" width="12" style="334"/>
    <col min="11037" max="11037" width="17.140625" style="334" customWidth="1"/>
    <col min="11038" max="11040" width="15.85546875" style="334" customWidth="1"/>
    <col min="11041" max="11265" width="12" style="334"/>
    <col min="11266" max="11266" width="10.85546875" style="334" customWidth="1"/>
    <col min="11267" max="11267" width="12.85546875" style="334" customWidth="1"/>
    <col min="11268" max="11268" width="8.140625" style="334" customWidth="1"/>
    <col min="11269" max="11269" width="8.85546875" style="334" customWidth="1"/>
    <col min="11270" max="11270" width="8.140625" style="334" customWidth="1"/>
    <col min="11271" max="11271" width="8" style="334" customWidth="1"/>
    <col min="11272" max="11273" width="0" style="334" hidden="1" customWidth="1"/>
    <col min="11274" max="11274" width="15.5703125" style="334" bestFit="1" customWidth="1"/>
    <col min="11275" max="11276" width="9.140625" style="334" customWidth="1"/>
    <col min="11277" max="11277" width="9" style="334" customWidth="1"/>
    <col min="11278" max="11278" width="5.7109375" style="334" customWidth="1"/>
    <col min="11279" max="11279" width="5.85546875" style="334" customWidth="1"/>
    <col min="11280" max="11280" width="7.85546875" style="334" customWidth="1"/>
    <col min="11281" max="11281" width="10.140625" style="334" customWidth="1"/>
    <col min="11282" max="11282" width="7.85546875" style="334" customWidth="1"/>
    <col min="11283" max="11285" width="0" style="334" hidden="1" customWidth="1"/>
    <col min="11286" max="11286" width="12.85546875" style="334" customWidth="1"/>
    <col min="11287" max="11287" width="11.7109375" style="334" customWidth="1"/>
    <col min="11288" max="11291" width="12.5703125" style="334" customWidth="1"/>
    <col min="11292" max="11292" width="12" style="334"/>
    <col min="11293" max="11293" width="17.140625" style="334" customWidth="1"/>
    <col min="11294" max="11296" width="15.85546875" style="334" customWidth="1"/>
    <col min="11297" max="11521" width="12" style="334"/>
    <col min="11522" max="11522" width="10.85546875" style="334" customWidth="1"/>
    <col min="11523" max="11523" width="12.85546875" style="334" customWidth="1"/>
    <col min="11524" max="11524" width="8.140625" style="334" customWidth="1"/>
    <col min="11525" max="11525" width="8.85546875" style="334" customWidth="1"/>
    <col min="11526" max="11526" width="8.140625" style="334" customWidth="1"/>
    <col min="11527" max="11527" width="8" style="334" customWidth="1"/>
    <col min="11528" max="11529" width="0" style="334" hidden="1" customWidth="1"/>
    <col min="11530" max="11530" width="15.5703125" style="334" bestFit="1" customWidth="1"/>
    <col min="11531" max="11532" width="9.140625" style="334" customWidth="1"/>
    <col min="11533" max="11533" width="9" style="334" customWidth="1"/>
    <col min="11534" max="11534" width="5.7109375" style="334" customWidth="1"/>
    <col min="11535" max="11535" width="5.85546875" style="334" customWidth="1"/>
    <col min="11536" max="11536" width="7.85546875" style="334" customWidth="1"/>
    <col min="11537" max="11537" width="10.140625" style="334" customWidth="1"/>
    <col min="11538" max="11538" width="7.85546875" style="334" customWidth="1"/>
    <col min="11539" max="11541" width="0" style="334" hidden="1" customWidth="1"/>
    <col min="11542" max="11542" width="12.85546875" style="334" customWidth="1"/>
    <col min="11543" max="11543" width="11.7109375" style="334" customWidth="1"/>
    <col min="11544" max="11547" width="12.5703125" style="334" customWidth="1"/>
    <col min="11548" max="11548" width="12" style="334"/>
    <col min="11549" max="11549" width="17.140625" style="334" customWidth="1"/>
    <col min="11550" max="11552" width="15.85546875" style="334" customWidth="1"/>
    <col min="11553" max="11777" width="12" style="334"/>
    <col min="11778" max="11778" width="10.85546875" style="334" customWidth="1"/>
    <col min="11779" max="11779" width="12.85546875" style="334" customWidth="1"/>
    <col min="11780" max="11780" width="8.140625" style="334" customWidth="1"/>
    <col min="11781" max="11781" width="8.85546875" style="334" customWidth="1"/>
    <col min="11782" max="11782" width="8.140625" style="334" customWidth="1"/>
    <col min="11783" max="11783" width="8" style="334" customWidth="1"/>
    <col min="11784" max="11785" width="0" style="334" hidden="1" customWidth="1"/>
    <col min="11786" max="11786" width="15.5703125" style="334" bestFit="1" customWidth="1"/>
    <col min="11787" max="11788" width="9.140625" style="334" customWidth="1"/>
    <col min="11789" max="11789" width="9" style="334" customWidth="1"/>
    <col min="11790" max="11790" width="5.7109375" style="334" customWidth="1"/>
    <col min="11791" max="11791" width="5.85546875" style="334" customWidth="1"/>
    <col min="11792" max="11792" width="7.85546875" style="334" customWidth="1"/>
    <col min="11793" max="11793" width="10.140625" style="334" customWidth="1"/>
    <col min="11794" max="11794" width="7.85546875" style="334" customWidth="1"/>
    <col min="11795" max="11797" width="0" style="334" hidden="1" customWidth="1"/>
    <col min="11798" max="11798" width="12.85546875" style="334" customWidth="1"/>
    <col min="11799" max="11799" width="11.7109375" style="334" customWidth="1"/>
    <col min="11800" max="11803" width="12.5703125" style="334" customWidth="1"/>
    <col min="11804" max="11804" width="12" style="334"/>
    <col min="11805" max="11805" width="17.140625" style="334" customWidth="1"/>
    <col min="11806" max="11808" width="15.85546875" style="334" customWidth="1"/>
    <col min="11809" max="12033" width="12" style="334"/>
    <col min="12034" max="12034" width="10.85546875" style="334" customWidth="1"/>
    <col min="12035" max="12035" width="12.85546875" style="334" customWidth="1"/>
    <col min="12036" max="12036" width="8.140625" style="334" customWidth="1"/>
    <col min="12037" max="12037" width="8.85546875" style="334" customWidth="1"/>
    <col min="12038" max="12038" width="8.140625" style="334" customWidth="1"/>
    <col min="12039" max="12039" width="8" style="334" customWidth="1"/>
    <col min="12040" max="12041" width="0" style="334" hidden="1" customWidth="1"/>
    <col min="12042" max="12042" width="15.5703125" style="334" bestFit="1" customWidth="1"/>
    <col min="12043" max="12044" width="9.140625" style="334" customWidth="1"/>
    <col min="12045" max="12045" width="9" style="334" customWidth="1"/>
    <col min="12046" max="12046" width="5.7109375" style="334" customWidth="1"/>
    <col min="12047" max="12047" width="5.85546875" style="334" customWidth="1"/>
    <col min="12048" max="12048" width="7.85546875" style="334" customWidth="1"/>
    <col min="12049" max="12049" width="10.140625" style="334" customWidth="1"/>
    <col min="12050" max="12050" width="7.85546875" style="334" customWidth="1"/>
    <col min="12051" max="12053" width="0" style="334" hidden="1" customWidth="1"/>
    <col min="12054" max="12054" width="12.85546875" style="334" customWidth="1"/>
    <col min="12055" max="12055" width="11.7109375" style="334" customWidth="1"/>
    <col min="12056" max="12059" width="12.5703125" style="334" customWidth="1"/>
    <col min="12060" max="12060" width="12" style="334"/>
    <col min="12061" max="12061" width="17.140625" style="334" customWidth="1"/>
    <col min="12062" max="12064" width="15.85546875" style="334" customWidth="1"/>
    <col min="12065" max="12289" width="12" style="334"/>
    <col min="12290" max="12290" width="10.85546875" style="334" customWidth="1"/>
    <col min="12291" max="12291" width="12.85546875" style="334" customWidth="1"/>
    <col min="12292" max="12292" width="8.140625" style="334" customWidth="1"/>
    <col min="12293" max="12293" width="8.85546875" style="334" customWidth="1"/>
    <col min="12294" max="12294" width="8.140625" style="334" customWidth="1"/>
    <col min="12295" max="12295" width="8" style="334" customWidth="1"/>
    <col min="12296" max="12297" width="0" style="334" hidden="1" customWidth="1"/>
    <col min="12298" max="12298" width="15.5703125" style="334" bestFit="1" customWidth="1"/>
    <col min="12299" max="12300" width="9.140625" style="334" customWidth="1"/>
    <col min="12301" max="12301" width="9" style="334" customWidth="1"/>
    <col min="12302" max="12302" width="5.7109375" style="334" customWidth="1"/>
    <col min="12303" max="12303" width="5.85546875" style="334" customWidth="1"/>
    <col min="12304" max="12304" width="7.85546875" style="334" customWidth="1"/>
    <col min="12305" max="12305" width="10.140625" style="334" customWidth="1"/>
    <col min="12306" max="12306" width="7.85546875" style="334" customWidth="1"/>
    <col min="12307" max="12309" width="0" style="334" hidden="1" customWidth="1"/>
    <col min="12310" max="12310" width="12.85546875" style="334" customWidth="1"/>
    <col min="12311" max="12311" width="11.7109375" style="334" customWidth="1"/>
    <col min="12312" max="12315" width="12.5703125" style="334" customWidth="1"/>
    <col min="12316" max="12316" width="12" style="334"/>
    <col min="12317" max="12317" width="17.140625" style="334" customWidth="1"/>
    <col min="12318" max="12320" width="15.85546875" style="334" customWidth="1"/>
    <col min="12321" max="12545" width="12" style="334"/>
    <col min="12546" max="12546" width="10.85546875" style="334" customWidth="1"/>
    <col min="12547" max="12547" width="12.85546875" style="334" customWidth="1"/>
    <col min="12548" max="12548" width="8.140625" style="334" customWidth="1"/>
    <col min="12549" max="12549" width="8.85546875" style="334" customWidth="1"/>
    <col min="12550" max="12550" width="8.140625" style="334" customWidth="1"/>
    <col min="12551" max="12551" width="8" style="334" customWidth="1"/>
    <col min="12552" max="12553" width="0" style="334" hidden="1" customWidth="1"/>
    <col min="12554" max="12554" width="15.5703125" style="334" bestFit="1" customWidth="1"/>
    <col min="12555" max="12556" width="9.140625" style="334" customWidth="1"/>
    <col min="12557" max="12557" width="9" style="334" customWidth="1"/>
    <col min="12558" max="12558" width="5.7109375" style="334" customWidth="1"/>
    <col min="12559" max="12559" width="5.85546875" style="334" customWidth="1"/>
    <col min="12560" max="12560" width="7.85546875" style="334" customWidth="1"/>
    <col min="12561" max="12561" width="10.140625" style="334" customWidth="1"/>
    <col min="12562" max="12562" width="7.85546875" style="334" customWidth="1"/>
    <col min="12563" max="12565" width="0" style="334" hidden="1" customWidth="1"/>
    <col min="12566" max="12566" width="12.85546875" style="334" customWidth="1"/>
    <col min="12567" max="12567" width="11.7109375" style="334" customWidth="1"/>
    <col min="12568" max="12571" width="12.5703125" style="334" customWidth="1"/>
    <col min="12572" max="12572" width="12" style="334"/>
    <col min="12573" max="12573" width="17.140625" style="334" customWidth="1"/>
    <col min="12574" max="12576" width="15.85546875" style="334" customWidth="1"/>
    <col min="12577" max="12801" width="12" style="334"/>
    <col min="12802" max="12802" width="10.85546875" style="334" customWidth="1"/>
    <col min="12803" max="12803" width="12.85546875" style="334" customWidth="1"/>
    <col min="12804" max="12804" width="8.140625" style="334" customWidth="1"/>
    <col min="12805" max="12805" width="8.85546875" style="334" customWidth="1"/>
    <col min="12806" max="12806" width="8.140625" style="334" customWidth="1"/>
    <col min="12807" max="12807" width="8" style="334" customWidth="1"/>
    <col min="12808" max="12809" width="0" style="334" hidden="1" customWidth="1"/>
    <col min="12810" max="12810" width="15.5703125" style="334" bestFit="1" customWidth="1"/>
    <col min="12811" max="12812" width="9.140625" style="334" customWidth="1"/>
    <col min="12813" max="12813" width="9" style="334" customWidth="1"/>
    <col min="12814" max="12814" width="5.7109375" style="334" customWidth="1"/>
    <col min="12815" max="12815" width="5.85546875" style="334" customWidth="1"/>
    <col min="12816" max="12816" width="7.85546875" style="334" customWidth="1"/>
    <col min="12817" max="12817" width="10.140625" style="334" customWidth="1"/>
    <col min="12818" max="12818" width="7.85546875" style="334" customWidth="1"/>
    <col min="12819" max="12821" width="0" style="334" hidden="1" customWidth="1"/>
    <col min="12822" max="12822" width="12.85546875" style="334" customWidth="1"/>
    <col min="12823" max="12823" width="11.7109375" style="334" customWidth="1"/>
    <col min="12824" max="12827" width="12.5703125" style="334" customWidth="1"/>
    <col min="12828" max="12828" width="12" style="334"/>
    <col min="12829" max="12829" width="17.140625" style="334" customWidth="1"/>
    <col min="12830" max="12832" width="15.85546875" style="334" customWidth="1"/>
    <col min="12833" max="13057" width="12" style="334"/>
    <col min="13058" max="13058" width="10.85546875" style="334" customWidth="1"/>
    <col min="13059" max="13059" width="12.85546875" style="334" customWidth="1"/>
    <col min="13060" max="13060" width="8.140625" style="334" customWidth="1"/>
    <col min="13061" max="13061" width="8.85546875" style="334" customWidth="1"/>
    <col min="13062" max="13062" width="8.140625" style="334" customWidth="1"/>
    <col min="13063" max="13063" width="8" style="334" customWidth="1"/>
    <col min="13064" max="13065" width="0" style="334" hidden="1" customWidth="1"/>
    <col min="13066" max="13066" width="15.5703125" style="334" bestFit="1" customWidth="1"/>
    <col min="13067" max="13068" width="9.140625" style="334" customWidth="1"/>
    <col min="13069" max="13069" width="9" style="334" customWidth="1"/>
    <col min="13070" max="13070" width="5.7109375" style="334" customWidth="1"/>
    <col min="13071" max="13071" width="5.85546875" style="334" customWidth="1"/>
    <col min="13072" max="13072" width="7.85546875" style="334" customWidth="1"/>
    <col min="13073" max="13073" width="10.140625" style="334" customWidth="1"/>
    <col min="13074" max="13074" width="7.85546875" style="334" customWidth="1"/>
    <col min="13075" max="13077" width="0" style="334" hidden="1" customWidth="1"/>
    <col min="13078" max="13078" width="12.85546875" style="334" customWidth="1"/>
    <col min="13079" max="13079" width="11.7109375" style="334" customWidth="1"/>
    <col min="13080" max="13083" width="12.5703125" style="334" customWidth="1"/>
    <col min="13084" max="13084" width="12" style="334"/>
    <col min="13085" max="13085" width="17.140625" style="334" customWidth="1"/>
    <col min="13086" max="13088" width="15.85546875" style="334" customWidth="1"/>
    <col min="13089" max="13313" width="12" style="334"/>
    <col min="13314" max="13314" width="10.85546875" style="334" customWidth="1"/>
    <col min="13315" max="13315" width="12.85546875" style="334" customWidth="1"/>
    <col min="13316" max="13316" width="8.140625" style="334" customWidth="1"/>
    <col min="13317" max="13317" width="8.85546875" style="334" customWidth="1"/>
    <col min="13318" max="13318" width="8.140625" style="334" customWidth="1"/>
    <col min="13319" max="13319" width="8" style="334" customWidth="1"/>
    <col min="13320" max="13321" width="0" style="334" hidden="1" customWidth="1"/>
    <col min="13322" max="13322" width="15.5703125" style="334" bestFit="1" customWidth="1"/>
    <col min="13323" max="13324" width="9.140625" style="334" customWidth="1"/>
    <col min="13325" max="13325" width="9" style="334" customWidth="1"/>
    <col min="13326" max="13326" width="5.7109375" style="334" customWidth="1"/>
    <col min="13327" max="13327" width="5.85546875" style="334" customWidth="1"/>
    <col min="13328" max="13328" width="7.85546875" style="334" customWidth="1"/>
    <col min="13329" max="13329" width="10.140625" style="334" customWidth="1"/>
    <col min="13330" max="13330" width="7.85546875" style="334" customWidth="1"/>
    <col min="13331" max="13333" width="0" style="334" hidden="1" customWidth="1"/>
    <col min="13334" max="13334" width="12.85546875" style="334" customWidth="1"/>
    <col min="13335" max="13335" width="11.7109375" style="334" customWidth="1"/>
    <col min="13336" max="13339" width="12.5703125" style="334" customWidth="1"/>
    <col min="13340" max="13340" width="12" style="334"/>
    <col min="13341" max="13341" width="17.140625" style="334" customWidth="1"/>
    <col min="13342" max="13344" width="15.85546875" style="334" customWidth="1"/>
    <col min="13345" max="13569" width="12" style="334"/>
    <col min="13570" max="13570" width="10.85546875" style="334" customWidth="1"/>
    <col min="13571" max="13571" width="12.85546875" style="334" customWidth="1"/>
    <col min="13572" max="13572" width="8.140625" style="334" customWidth="1"/>
    <col min="13573" max="13573" width="8.85546875" style="334" customWidth="1"/>
    <col min="13574" max="13574" width="8.140625" style="334" customWidth="1"/>
    <col min="13575" max="13575" width="8" style="334" customWidth="1"/>
    <col min="13576" max="13577" width="0" style="334" hidden="1" customWidth="1"/>
    <col min="13578" max="13578" width="15.5703125" style="334" bestFit="1" customWidth="1"/>
    <col min="13579" max="13580" width="9.140625" style="334" customWidth="1"/>
    <col min="13581" max="13581" width="9" style="334" customWidth="1"/>
    <col min="13582" max="13582" width="5.7109375" style="334" customWidth="1"/>
    <col min="13583" max="13583" width="5.85546875" style="334" customWidth="1"/>
    <col min="13584" max="13584" width="7.85546875" style="334" customWidth="1"/>
    <col min="13585" max="13585" width="10.140625" style="334" customWidth="1"/>
    <col min="13586" max="13586" width="7.85546875" style="334" customWidth="1"/>
    <col min="13587" max="13589" width="0" style="334" hidden="1" customWidth="1"/>
    <col min="13590" max="13590" width="12.85546875" style="334" customWidth="1"/>
    <col min="13591" max="13591" width="11.7109375" style="334" customWidth="1"/>
    <col min="13592" max="13595" width="12.5703125" style="334" customWidth="1"/>
    <col min="13596" max="13596" width="12" style="334"/>
    <col min="13597" max="13597" width="17.140625" style="334" customWidth="1"/>
    <col min="13598" max="13600" width="15.85546875" style="334" customWidth="1"/>
    <col min="13601" max="13825" width="12" style="334"/>
    <col min="13826" max="13826" width="10.85546875" style="334" customWidth="1"/>
    <col min="13827" max="13827" width="12.85546875" style="334" customWidth="1"/>
    <col min="13828" max="13828" width="8.140625" style="334" customWidth="1"/>
    <col min="13829" max="13829" width="8.85546875" style="334" customWidth="1"/>
    <col min="13830" max="13830" width="8.140625" style="334" customWidth="1"/>
    <col min="13831" max="13831" width="8" style="334" customWidth="1"/>
    <col min="13832" max="13833" width="0" style="334" hidden="1" customWidth="1"/>
    <col min="13834" max="13834" width="15.5703125" style="334" bestFit="1" customWidth="1"/>
    <col min="13835" max="13836" width="9.140625" style="334" customWidth="1"/>
    <col min="13837" max="13837" width="9" style="334" customWidth="1"/>
    <col min="13838" max="13838" width="5.7109375" style="334" customWidth="1"/>
    <col min="13839" max="13839" width="5.85546875" style="334" customWidth="1"/>
    <col min="13840" max="13840" width="7.85546875" style="334" customWidth="1"/>
    <col min="13841" max="13841" width="10.140625" style="334" customWidth="1"/>
    <col min="13842" max="13842" width="7.85546875" style="334" customWidth="1"/>
    <col min="13843" max="13845" width="0" style="334" hidden="1" customWidth="1"/>
    <col min="13846" max="13846" width="12.85546875" style="334" customWidth="1"/>
    <col min="13847" max="13847" width="11.7109375" style="334" customWidth="1"/>
    <col min="13848" max="13851" width="12.5703125" style="334" customWidth="1"/>
    <col min="13852" max="13852" width="12" style="334"/>
    <col min="13853" max="13853" width="17.140625" style="334" customWidth="1"/>
    <col min="13854" max="13856" width="15.85546875" style="334" customWidth="1"/>
    <col min="13857" max="14081" width="12" style="334"/>
    <col min="14082" max="14082" width="10.85546875" style="334" customWidth="1"/>
    <col min="14083" max="14083" width="12.85546875" style="334" customWidth="1"/>
    <col min="14084" max="14084" width="8.140625" style="334" customWidth="1"/>
    <col min="14085" max="14085" width="8.85546875" style="334" customWidth="1"/>
    <col min="14086" max="14086" width="8.140625" style="334" customWidth="1"/>
    <col min="14087" max="14087" width="8" style="334" customWidth="1"/>
    <col min="14088" max="14089" width="0" style="334" hidden="1" customWidth="1"/>
    <col min="14090" max="14090" width="15.5703125" style="334" bestFit="1" customWidth="1"/>
    <col min="14091" max="14092" width="9.140625" style="334" customWidth="1"/>
    <col min="14093" max="14093" width="9" style="334" customWidth="1"/>
    <col min="14094" max="14094" width="5.7109375" style="334" customWidth="1"/>
    <col min="14095" max="14095" width="5.85546875" style="334" customWidth="1"/>
    <col min="14096" max="14096" width="7.85546875" style="334" customWidth="1"/>
    <col min="14097" max="14097" width="10.140625" style="334" customWidth="1"/>
    <col min="14098" max="14098" width="7.85546875" style="334" customWidth="1"/>
    <col min="14099" max="14101" width="0" style="334" hidden="1" customWidth="1"/>
    <col min="14102" max="14102" width="12.85546875" style="334" customWidth="1"/>
    <col min="14103" max="14103" width="11.7109375" style="334" customWidth="1"/>
    <col min="14104" max="14107" width="12.5703125" style="334" customWidth="1"/>
    <col min="14108" max="14108" width="12" style="334"/>
    <col min="14109" max="14109" width="17.140625" style="334" customWidth="1"/>
    <col min="14110" max="14112" width="15.85546875" style="334" customWidth="1"/>
    <col min="14113" max="14337" width="12" style="334"/>
    <col min="14338" max="14338" width="10.85546875" style="334" customWidth="1"/>
    <col min="14339" max="14339" width="12.85546875" style="334" customWidth="1"/>
    <col min="14340" max="14340" width="8.140625" style="334" customWidth="1"/>
    <col min="14341" max="14341" width="8.85546875" style="334" customWidth="1"/>
    <col min="14342" max="14342" width="8.140625" style="334" customWidth="1"/>
    <col min="14343" max="14343" width="8" style="334" customWidth="1"/>
    <col min="14344" max="14345" width="0" style="334" hidden="1" customWidth="1"/>
    <col min="14346" max="14346" width="15.5703125" style="334" bestFit="1" customWidth="1"/>
    <col min="14347" max="14348" width="9.140625" style="334" customWidth="1"/>
    <col min="14349" max="14349" width="9" style="334" customWidth="1"/>
    <col min="14350" max="14350" width="5.7109375" style="334" customWidth="1"/>
    <col min="14351" max="14351" width="5.85546875" style="334" customWidth="1"/>
    <col min="14352" max="14352" width="7.85546875" style="334" customWidth="1"/>
    <col min="14353" max="14353" width="10.140625" style="334" customWidth="1"/>
    <col min="14354" max="14354" width="7.85546875" style="334" customWidth="1"/>
    <col min="14355" max="14357" width="0" style="334" hidden="1" customWidth="1"/>
    <col min="14358" max="14358" width="12.85546875" style="334" customWidth="1"/>
    <col min="14359" max="14359" width="11.7109375" style="334" customWidth="1"/>
    <col min="14360" max="14363" width="12.5703125" style="334" customWidth="1"/>
    <col min="14364" max="14364" width="12" style="334"/>
    <col min="14365" max="14365" width="17.140625" style="334" customWidth="1"/>
    <col min="14366" max="14368" width="15.85546875" style="334" customWidth="1"/>
    <col min="14369" max="14593" width="12" style="334"/>
    <col min="14594" max="14594" width="10.85546875" style="334" customWidth="1"/>
    <col min="14595" max="14595" width="12.85546875" style="334" customWidth="1"/>
    <col min="14596" max="14596" width="8.140625" style="334" customWidth="1"/>
    <col min="14597" max="14597" width="8.85546875" style="334" customWidth="1"/>
    <col min="14598" max="14598" width="8.140625" style="334" customWidth="1"/>
    <col min="14599" max="14599" width="8" style="334" customWidth="1"/>
    <col min="14600" max="14601" width="0" style="334" hidden="1" customWidth="1"/>
    <col min="14602" max="14602" width="15.5703125" style="334" bestFit="1" customWidth="1"/>
    <col min="14603" max="14604" width="9.140625" style="334" customWidth="1"/>
    <col min="14605" max="14605" width="9" style="334" customWidth="1"/>
    <col min="14606" max="14606" width="5.7109375" style="334" customWidth="1"/>
    <col min="14607" max="14607" width="5.85546875" style="334" customWidth="1"/>
    <col min="14608" max="14608" width="7.85546875" style="334" customWidth="1"/>
    <col min="14609" max="14609" width="10.140625" style="334" customWidth="1"/>
    <col min="14610" max="14610" width="7.85546875" style="334" customWidth="1"/>
    <col min="14611" max="14613" width="0" style="334" hidden="1" customWidth="1"/>
    <col min="14614" max="14614" width="12.85546875" style="334" customWidth="1"/>
    <col min="14615" max="14615" width="11.7109375" style="334" customWidth="1"/>
    <col min="14616" max="14619" width="12.5703125" style="334" customWidth="1"/>
    <col min="14620" max="14620" width="12" style="334"/>
    <col min="14621" max="14621" width="17.140625" style="334" customWidth="1"/>
    <col min="14622" max="14624" width="15.85546875" style="334" customWidth="1"/>
    <col min="14625" max="14849" width="12" style="334"/>
    <col min="14850" max="14850" width="10.85546875" style="334" customWidth="1"/>
    <col min="14851" max="14851" width="12.85546875" style="334" customWidth="1"/>
    <col min="14852" max="14852" width="8.140625" style="334" customWidth="1"/>
    <col min="14853" max="14853" width="8.85546875" style="334" customWidth="1"/>
    <col min="14854" max="14854" width="8.140625" style="334" customWidth="1"/>
    <col min="14855" max="14855" width="8" style="334" customWidth="1"/>
    <col min="14856" max="14857" width="0" style="334" hidden="1" customWidth="1"/>
    <col min="14858" max="14858" width="15.5703125" style="334" bestFit="1" customWidth="1"/>
    <col min="14859" max="14860" width="9.140625" style="334" customWidth="1"/>
    <col min="14861" max="14861" width="9" style="334" customWidth="1"/>
    <col min="14862" max="14862" width="5.7109375" style="334" customWidth="1"/>
    <col min="14863" max="14863" width="5.85546875" style="334" customWidth="1"/>
    <col min="14864" max="14864" width="7.85546875" style="334" customWidth="1"/>
    <col min="14865" max="14865" width="10.140625" style="334" customWidth="1"/>
    <col min="14866" max="14866" width="7.85546875" style="334" customWidth="1"/>
    <col min="14867" max="14869" width="0" style="334" hidden="1" customWidth="1"/>
    <col min="14870" max="14870" width="12.85546875" style="334" customWidth="1"/>
    <col min="14871" max="14871" width="11.7109375" style="334" customWidth="1"/>
    <col min="14872" max="14875" width="12.5703125" style="334" customWidth="1"/>
    <col min="14876" max="14876" width="12" style="334"/>
    <col min="14877" max="14877" width="17.140625" style="334" customWidth="1"/>
    <col min="14878" max="14880" width="15.85546875" style="334" customWidth="1"/>
    <col min="14881" max="15105" width="12" style="334"/>
    <col min="15106" max="15106" width="10.85546875" style="334" customWidth="1"/>
    <col min="15107" max="15107" width="12.85546875" style="334" customWidth="1"/>
    <col min="15108" max="15108" width="8.140625" style="334" customWidth="1"/>
    <col min="15109" max="15109" width="8.85546875" style="334" customWidth="1"/>
    <col min="15110" max="15110" width="8.140625" style="334" customWidth="1"/>
    <col min="15111" max="15111" width="8" style="334" customWidth="1"/>
    <col min="15112" max="15113" width="0" style="334" hidden="1" customWidth="1"/>
    <col min="15114" max="15114" width="15.5703125" style="334" bestFit="1" customWidth="1"/>
    <col min="15115" max="15116" width="9.140625" style="334" customWidth="1"/>
    <col min="15117" max="15117" width="9" style="334" customWidth="1"/>
    <col min="15118" max="15118" width="5.7109375" style="334" customWidth="1"/>
    <col min="15119" max="15119" width="5.85546875" style="334" customWidth="1"/>
    <col min="15120" max="15120" width="7.85546875" style="334" customWidth="1"/>
    <col min="15121" max="15121" width="10.140625" style="334" customWidth="1"/>
    <col min="15122" max="15122" width="7.85546875" style="334" customWidth="1"/>
    <col min="15123" max="15125" width="0" style="334" hidden="1" customWidth="1"/>
    <col min="15126" max="15126" width="12.85546875" style="334" customWidth="1"/>
    <col min="15127" max="15127" width="11.7109375" style="334" customWidth="1"/>
    <col min="15128" max="15131" width="12.5703125" style="334" customWidth="1"/>
    <col min="15132" max="15132" width="12" style="334"/>
    <col min="15133" max="15133" width="17.140625" style="334" customWidth="1"/>
    <col min="15134" max="15136" width="15.85546875" style="334" customWidth="1"/>
    <col min="15137" max="15361" width="12" style="334"/>
    <col min="15362" max="15362" width="10.85546875" style="334" customWidth="1"/>
    <col min="15363" max="15363" width="12.85546875" style="334" customWidth="1"/>
    <col min="15364" max="15364" width="8.140625" style="334" customWidth="1"/>
    <col min="15365" max="15365" width="8.85546875" style="334" customWidth="1"/>
    <col min="15366" max="15366" width="8.140625" style="334" customWidth="1"/>
    <col min="15367" max="15367" width="8" style="334" customWidth="1"/>
    <col min="15368" max="15369" width="0" style="334" hidden="1" customWidth="1"/>
    <col min="15370" max="15370" width="15.5703125" style="334" bestFit="1" customWidth="1"/>
    <col min="15371" max="15372" width="9.140625" style="334" customWidth="1"/>
    <col min="15373" max="15373" width="9" style="334" customWidth="1"/>
    <col min="15374" max="15374" width="5.7109375" style="334" customWidth="1"/>
    <col min="15375" max="15375" width="5.85546875" style="334" customWidth="1"/>
    <col min="15376" max="15376" width="7.85546875" style="334" customWidth="1"/>
    <col min="15377" max="15377" width="10.140625" style="334" customWidth="1"/>
    <col min="15378" max="15378" width="7.85546875" style="334" customWidth="1"/>
    <col min="15379" max="15381" width="0" style="334" hidden="1" customWidth="1"/>
    <col min="15382" max="15382" width="12.85546875" style="334" customWidth="1"/>
    <col min="15383" max="15383" width="11.7109375" style="334" customWidth="1"/>
    <col min="15384" max="15387" width="12.5703125" style="334" customWidth="1"/>
    <col min="15388" max="15388" width="12" style="334"/>
    <col min="15389" max="15389" width="17.140625" style="334" customWidth="1"/>
    <col min="15390" max="15392" width="15.85546875" style="334" customWidth="1"/>
    <col min="15393" max="15617" width="12" style="334"/>
    <col min="15618" max="15618" width="10.85546875" style="334" customWidth="1"/>
    <col min="15619" max="15619" width="12.85546875" style="334" customWidth="1"/>
    <col min="15620" max="15620" width="8.140625" style="334" customWidth="1"/>
    <col min="15621" max="15621" width="8.85546875" style="334" customWidth="1"/>
    <col min="15622" max="15622" width="8.140625" style="334" customWidth="1"/>
    <col min="15623" max="15623" width="8" style="334" customWidth="1"/>
    <col min="15624" max="15625" width="0" style="334" hidden="1" customWidth="1"/>
    <col min="15626" max="15626" width="15.5703125" style="334" bestFit="1" customWidth="1"/>
    <col min="15627" max="15628" width="9.140625" style="334" customWidth="1"/>
    <col min="15629" max="15629" width="9" style="334" customWidth="1"/>
    <col min="15630" max="15630" width="5.7109375" style="334" customWidth="1"/>
    <col min="15631" max="15631" width="5.85546875" style="334" customWidth="1"/>
    <col min="15632" max="15632" width="7.85546875" style="334" customWidth="1"/>
    <col min="15633" max="15633" width="10.140625" style="334" customWidth="1"/>
    <col min="15634" max="15634" width="7.85546875" style="334" customWidth="1"/>
    <col min="15635" max="15637" width="0" style="334" hidden="1" customWidth="1"/>
    <col min="15638" max="15638" width="12.85546875" style="334" customWidth="1"/>
    <col min="15639" max="15639" width="11.7109375" style="334" customWidth="1"/>
    <col min="15640" max="15643" width="12.5703125" style="334" customWidth="1"/>
    <col min="15644" max="15644" width="12" style="334"/>
    <col min="15645" max="15645" width="17.140625" style="334" customWidth="1"/>
    <col min="15646" max="15648" width="15.85546875" style="334" customWidth="1"/>
    <col min="15649" max="15873" width="12" style="334"/>
    <col min="15874" max="15874" width="10.85546875" style="334" customWidth="1"/>
    <col min="15875" max="15875" width="12.85546875" style="334" customWidth="1"/>
    <col min="15876" max="15876" width="8.140625" style="334" customWidth="1"/>
    <col min="15877" max="15877" width="8.85546875" style="334" customWidth="1"/>
    <col min="15878" max="15878" width="8.140625" style="334" customWidth="1"/>
    <col min="15879" max="15879" width="8" style="334" customWidth="1"/>
    <col min="15880" max="15881" width="0" style="334" hidden="1" customWidth="1"/>
    <col min="15882" max="15882" width="15.5703125" style="334" bestFit="1" customWidth="1"/>
    <col min="15883" max="15884" width="9.140625" style="334" customWidth="1"/>
    <col min="15885" max="15885" width="9" style="334" customWidth="1"/>
    <col min="15886" max="15886" width="5.7109375" style="334" customWidth="1"/>
    <col min="15887" max="15887" width="5.85546875" style="334" customWidth="1"/>
    <col min="15888" max="15888" width="7.85546875" style="334" customWidth="1"/>
    <col min="15889" max="15889" width="10.140625" style="334" customWidth="1"/>
    <col min="15890" max="15890" width="7.85546875" style="334" customWidth="1"/>
    <col min="15891" max="15893" width="0" style="334" hidden="1" customWidth="1"/>
    <col min="15894" max="15894" width="12.85546875" style="334" customWidth="1"/>
    <col min="15895" max="15895" width="11.7109375" style="334" customWidth="1"/>
    <col min="15896" max="15899" width="12.5703125" style="334" customWidth="1"/>
    <col min="15900" max="15900" width="12" style="334"/>
    <col min="15901" max="15901" width="17.140625" style="334" customWidth="1"/>
    <col min="15902" max="15904" width="15.85546875" style="334" customWidth="1"/>
    <col min="15905" max="16129" width="12" style="334"/>
    <col min="16130" max="16130" width="10.85546875" style="334" customWidth="1"/>
    <col min="16131" max="16131" width="12.85546875" style="334" customWidth="1"/>
    <col min="16132" max="16132" width="8.140625" style="334" customWidth="1"/>
    <col min="16133" max="16133" width="8.85546875" style="334" customWidth="1"/>
    <col min="16134" max="16134" width="8.140625" style="334" customWidth="1"/>
    <col min="16135" max="16135" width="8" style="334" customWidth="1"/>
    <col min="16136" max="16137" width="0" style="334" hidden="1" customWidth="1"/>
    <col min="16138" max="16138" width="15.5703125" style="334" bestFit="1" customWidth="1"/>
    <col min="16139" max="16140" width="9.140625" style="334" customWidth="1"/>
    <col min="16141" max="16141" width="9" style="334" customWidth="1"/>
    <col min="16142" max="16142" width="5.7109375" style="334" customWidth="1"/>
    <col min="16143" max="16143" width="5.85546875" style="334" customWidth="1"/>
    <col min="16144" max="16144" width="7.85546875" style="334" customWidth="1"/>
    <col min="16145" max="16145" width="10.140625" style="334" customWidth="1"/>
    <col min="16146" max="16146" width="7.85546875" style="334" customWidth="1"/>
    <col min="16147" max="16149" width="0" style="334" hidden="1" customWidth="1"/>
    <col min="16150" max="16150" width="12.85546875" style="334" customWidth="1"/>
    <col min="16151" max="16151" width="11.7109375" style="334" customWidth="1"/>
    <col min="16152" max="16155" width="12.5703125" style="334" customWidth="1"/>
    <col min="16156" max="16156" width="12" style="334"/>
    <col min="16157" max="16157" width="17.140625" style="334" customWidth="1"/>
    <col min="16158" max="16160" width="15.85546875" style="334" customWidth="1"/>
    <col min="16161" max="16384" width="12" style="334"/>
  </cols>
  <sheetData>
    <row r="1" spans="2:35" ht="13.5" thickBot="1"/>
    <row r="2" spans="2:35" ht="12.75" customHeight="1">
      <c r="B2" s="826" t="s">
        <v>550</v>
      </c>
      <c r="C2" s="827"/>
      <c r="D2" s="827"/>
      <c r="E2" s="827"/>
      <c r="F2" s="827"/>
      <c r="G2" s="827"/>
      <c r="H2" s="827"/>
      <c r="I2" s="827"/>
      <c r="J2" s="827"/>
      <c r="K2" s="827"/>
      <c r="L2" s="827"/>
      <c r="M2" s="827"/>
      <c r="N2" s="827"/>
      <c r="O2" s="827"/>
      <c r="P2" s="827"/>
      <c r="Q2" s="827"/>
      <c r="R2" s="827"/>
      <c r="S2" s="827"/>
      <c r="T2" s="827"/>
      <c r="U2" s="827"/>
      <c r="V2" s="827"/>
      <c r="W2" s="827"/>
      <c r="X2" s="827"/>
      <c r="Y2" s="828"/>
      <c r="Z2" s="333"/>
      <c r="AA2" s="333"/>
    </row>
    <row r="3" spans="2:35" ht="12.75" customHeight="1">
      <c r="B3" s="829"/>
      <c r="C3" s="830"/>
      <c r="D3" s="830"/>
      <c r="E3" s="830"/>
      <c r="F3" s="830"/>
      <c r="G3" s="830"/>
      <c r="H3" s="830"/>
      <c r="I3" s="830"/>
      <c r="J3" s="830"/>
      <c r="K3" s="830"/>
      <c r="L3" s="830"/>
      <c r="M3" s="830"/>
      <c r="N3" s="830"/>
      <c r="O3" s="830"/>
      <c r="P3" s="830"/>
      <c r="Q3" s="830"/>
      <c r="R3" s="830"/>
      <c r="S3" s="830"/>
      <c r="T3" s="830"/>
      <c r="U3" s="830"/>
      <c r="V3" s="830"/>
      <c r="W3" s="830"/>
      <c r="X3" s="830"/>
      <c r="Y3" s="831"/>
      <c r="Z3" s="335"/>
      <c r="AA3" s="335"/>
    </row>
    <row r="4" spans="2:35" ht="12.75" customHeight="1">
      <c r="B4" s="832"/>
      <c r="C4" s="833"/>
      <c r="D4" s="833"/>
      <c r="E4" s="833"/>
      <c r="F4" s="833"/>
      <c r="G4" s="833"/>
      <c r="H4" s="833"/>
      <c r="I4" s="833"/>
      <c r="J4" s="833"/>
      <c r="K4" s="833"/>
      <c r="L4" s="833"/>
      <c r="M4" s="833"/>
      <c r="N4" s="833"/>
      <c r="O4" s="833"/>
      <c r="P4" s="833"/>
      <c r="Q4" s="833"/>
      <c r="R4" s="833"/>
      <c r="S4" s="833"/>
      <c r="T4" s="833"/>
      <c r="U4" s="833"/>
      <c r="V4" s="833"/>
      <c r="W4" s="833"/>
      <c r="X4" s="833"/>
      <c r="Y4" s="834"/>
      <c r="Z4" s="335"/>
      <c r="AA4" s="335"/>
    </row>
    <row r="5" spans="2:35" ht="12.75" customHeight="1">
      <c r="B5" s="835" t="s">
        <v>609</v>
      </c>
      <c r="C5" s="836" t="s">
        <v>551</v>
      </c>
      <c r="D5" s="836" t="s">
        <v>552</v>
      </c>
      <c r="E5" s="836" t="s">
        <v>553</v>
      </c>
      <c r="F5" s="836" t="s">
        <v>554</v>
      </c>
      <c r="G5" s="836" t="s">
        <v>555</v>
      </c>
      <c r="H5" s="836" t="s">
        <v>556</v>
      </c>
      <c r="I5" s="837"/>
      <c r="J5" s="837"/>
      <c r="K5" s="838" t="s">
        <v>557</v>
      </c>
      <c r="L5" s="838"/>
      <c r="M5" s="836" t="s">
        <v>558</v>
      </c>
      <c r="N5" s="836" t="s">
        <v>559</v>
      </c>
      <c r="O5" s="856"/>
      <c r="P5" s="836" t="s">
        <v>560</v>
      </c>
      <c r="Q5" s="836" t="s">
        <v>561</v>
      </c>
      <c r="R5" s="336"/>
      <c r="S5" s="336"/>
      <c r="T5" s="336"/>
      <c r="U5" s="336"/>
      <c r="V5" s="838" t="s">
        <v>562</v>
      </c>
      <c r="W5" s="838" t="s">
        <v>563</v>
      </c>
      <c r="X5" s="838"/>
      <c r="Y5" s="824" t="s">
        <v>564</v>
      </c>
      <c r="AA5" s="337"/>
    </row>
    <row r="6" spans="2:35" ht="12.75" customHeight="1">
      <c r="B6" s="835"/>
      <c r="C6" s="837"/>
      <c r="D6" s="836"/>
      <c r="E6" s="837"/>
      <c r="F6" s="836"/>
      <c r="G6" s="836"/>
      <c r="H6" s="837"/>
      <c r="I6" s="837"/>
      <c r="J6" s="837"/>
      <c r="K6" s="838" t="s">
        <v>565</v>
      </c>
      <c r="L6" s="838"/>
      <c r="M6" s="836"/>
      <c r="N6" s="856"/>
      <c r="O6" s="856"/>
      <c r="P6" s="836"/>
      <c r="Q6" s="836"/>
      <c r="R6" s="336" t="s">
        <v>566</v>
      </c>
      <c r="S6" s="336" t="s">
        <v>567</v>
      </c>
      <c r="T6" s="336"/>
      <c r="U6" s="336" t="s">
        <v>121</v>
      </c>
      <c r="V6" s="838"/>
      <c r="W6" s="838" t="s">
        <v>568</v>
      </c>
      <c r="X6" s="838"/>
      <c r="Y6" s="825"/>
      <c r="AA6" s="337"/>
    </row>
    <row r="7" spans="2:35">
      <c r="B7" s="835"/>
      <c r="C7" s="837"/>
      <c r="D7" s="836"/>
      <c r="E7" s="837"/>
      <c r="F7" s="836"/>
      <c r="G7" s="836"/>
      <c r="H7" s="837"/>
      <c r="I7" s="837"/>
      <c r="J7" s="837"/>
      <c r="K7" s="838" t="s">
        <v>569</v>
      </c>
      <c r="L7" s="838"/>
      <c r="M7" s="836"/>
      <c r="N7" s="856"/>
      <c r="O7" s="856"/>
      <c r="P7" s="836"/>
      <c r="Q7" s="836"/>
      <c r="R7" s="336" t="s">
        <v>570</v>
      </c>
      <c r="S7" s="336" t="s">
        <v>571</v>
      </c>
      <c r="T7" s="336" t="s">
        <v>572</v>
      </c>
      <c r="U7" s="336" t="s">
        <v>573</v>
      </c>
      <c r="V7" s="838"/>
      <c r="W7" s="838" t="s">
        <v>574</v>
      </c>
      <c r="X7" s="838"/>
      <c r="Y7" s="825"/>
      <c r="AA7" s="337"/>
      <c r="AB7" s="334" t="s">
        <v>575</v>
      </c>
      <c r="AC7" s="338" t="s">
        <v>576</v>
      </c>
      <c r="AD7" s="338" t="s">
        <v>577</v>
      </c>
      <c r="AE7" s="338" t="s">
        <v>578</v>
      </c>
      <c r="AF7" s="338" t="s">
        <v>579</v>
      </c>
      <c r="AG7" s="338"/>
      <c r="AH7" s="338"/>
      <c r="AI7" s="338"/>
    </row>
    <row r="8" spans="2:35">
      <c r="B8" s="835"/>
      <c r="C8" s="837"/>
      <c r="D8" s="836"/>
      <c r="E8" s="837"/>
      <c r="F8" s="836"/>
      <c r="G8" s="836"/>
      <c r="H8" s="339" t="s">
        <v>580</v>
      </c>
      <c r="I8" s="339" t="s">
        <v>581</v>
      </c>
      <c r="J8" s="339" t="s">
        <v>16</v>
      </c>
      <c r="K8" s="339" t="s">
        <v>582</v>
      </c>
      <c r="L8" s="339" t="s">
        <v>583</v>
      </c>
      <c r="M8" s="836"/>
      <c r="N8" s="339" t="s">
        <v>580</v>
      </c>
      <c r="O8" s="339" t="s">
        <v>581</v>
      </c>
      <c r="P8" s="836"/>
      <c r="Q8" s="836"/>
      <c r="R8" s="336" t="s">
        <v>113</v>
      </c>
      <c r="S8" s="336" t="s">
        <v>121</v>
      </c>
      <c r="T8" s="336" t="s">
        <v>113</v>
      </c>
      <c r="U8" s="336"/>
      <c r="V8" s="336" t="s">
        <v>114</v>
      </c>
      <c r="W8" s="339" t="s">
        <v>190</v>
      </c>
      <c r="X8" s="339" t="s">
        <v>584</v>
      </c>
      <c r="Y8" s="340" t="s">
        <v>574</v>
      </c>
      <c r="AA8" s="337"/>
      <c r="AB8" s="334" t="s">
        <v>113</v>
      </c>
      <c r="AC8" s="338" t="s">
        <v>585</v>
      </c>
      <c r="AD8" s="338" t="s">
        <v>586</v>
      </c>
      <c r="AE8" s="338" t="s">
        <v>587</v>
      </c>
      <c r="AF8" s="338" t="s">
        <v>588</v>
      </c>
      <c r="AG8" s="338"/>
      <c r="AH8" s="338"/>
      <c r="AI8" s="338"/>
    </row>
    <row r="9" spans="2:35">
      <c r="B9" s="341" t="s">
        <v>649</v>
      </c>
      <c r="C9" s="342" t="s">
        <v>610</v>
      </c>
      <c r="D9" s="343">
        <v>0</v>
      </c>
      <c r="E9" s="344" t="s">
        <v>611</v>
      </c>
      <c r="F9" s="344" t="s">
        <v>590</v>
      </c>
      <c r="G9" s="400">
        <f>(K9-L9)/J9</f>
        <v>2.0714285714283115E-3</v>
      </c>
      <c r="H9" s="344">
        <v>9.4499999999999993</v>
      </c>
      <c r="I9" s="344">
        <v>10.55</v>
      </c>
      <c r="J9" s="344">
        <v>14</v>
      </c>
      <c r="K9" s="345">
        <v>176.69</v>
      </c>
      <c r="L9" s="345">
        <v>176.661</v>
      </c>
      <c r="M9" s="345">
        <v>179.17599999999999</v>
      </c>
      <c r="N9" s="346" t="s">
        <v>589</v>
      </c>
      <c r="O9" s="346" t="s">
        <v>589</v>
      </c>
      <c r="P9" s="344" t="s">
        <v>590</v>
      </c>
      <c r="Q9" s="344" t="s">
        <v>591</v>
      </c>
      <c r="R9" s="344">
        <f>M9-(MEDIAN(K9,L9))</f>
        <v>2.5004999999999882</v>
      </c>
      <c r="S9" s="344"/>
      <c r="T9" s="344"/>
      <c r="U9" s="344"/>
      <c r="V9" s="347">
        <f>J9*2.3*2</f>
        <v>64.399999999999991</v>
      </c>
      <c r="W9" s="348">
        <f>AD9*AE9*J9</f>
        <v>143.97767999999999</v>
      </c>
      <c r="X9" s="345">
        <f>W9-(AC9*J9)</f>
        <v>73.361679999999993</v>
      </c>
      <c r="Y9" s="403">
        <f>W9-X9</f>
        <v>70.616</v>
      </c>
      <c r="AA9" s="349"/>
      <c r="AB9" s="338">
        <v>0</v>
      </c>
      <c r="AC9" s="401">
        <f>2.6*1.94</f>
        <v>5.0439999999999996</v>
      </c>
      <c r="AD9" s="402">
        <f>AC9+0.15</f>
        <v>5.194</v>
      </c>
      <c r="AE9" s="338">
        <v>1.98</v>
      </c>
      <c r="AF9" s="401">
        <f>AD9*AE9*J9</f>
        <v>143.97767999999999</v>
      </c>
      <c r="AH9" s="351"/>
      <c r="AI9" s="351"/>
    </row>
    <row r="10" spans="2:35">
      <c r="B10" s="341" t="s">
        <v>650</v>
      </c>
      <c r="C10" s="342" t="s">
        <v>651</v>
      </c>
      <c r="D10" s="343">
        <v>0</v>
      </c>
      <c r="E10" s="344" t="s">
        <v>611</v>
      </c>
      <c r="F10" s="344" t="s">
        <v>590</v>
      </c>
      <c r="G10" s="400">
        <f>(K10-L10)/J10</f>
        <v>2.7785714285715E-2</v>
      </c>
      <c r="H10" s="344">
        <v>9.4499999999999993</v>
      </c>
      <c r="I10" s="344">
        <v>10.55</v>
      </c>
      <c r="J10" s="344">
        <v>14</v>
      </c>
      <c r="K10" s="345">
        <v>172.66900000000001</v>
      </c>
      <c r="L10" s="345">
        <v>172.28</v>
      </c>
      <c r="M10" s="345">
        <v>175.40899999999999</v>
      </c>
      <c r="N10" s="346" t="s">
        <v>589</v>
      </c>
      <c r="O10" s="346" t="s">
        <v>589</v>
      </c>
      <c r="P10" s="344" t="s">
        <v>590</v>
      </c>
      <c r="Q10" s="344" t="s">
        <v>591</v>
      </c>
      <c r="R10" s="344">
        <f>M10-(MEDIAN(K10,L10))</f>
        <v>2.9344999999999857</v>
      </c>
      <c r="S10" s="344"/>
      <c r="T10" s="344"/>
      <c r="U10" s="344"/>
      <c r="V10" s="347">
        <f>J10*2.3*2</f>
        <v>64.399999999999991</v>
      </c>
      <c r="W10" s="348">
        <f>AD10*AE10*J10</f>
        <v>381.24799999999999</v>
      </c>
      <c r="X10" s="345">
        <f>W10-(AC10*J10)</f>
        <v>263.50799999999998</v>
      </c>
      <c r="Y10" s="403">
        <f>W10-X10</f>
        <v>117.74000000000001</v>
      </c>
      <c r="AA10" s="349"/>
      <c r="AB10" s="338">
        <v>0</v>
      </c>
      <c r="AC10" s="401">
        <f>2.9*2.9</f>
        <v>8.41</v>
      </c>
      <c r="AD10" s="402">
        <f>AC10+0.1</f>
        <v>8.51</v>
      </c>
      <c r="AE10" s="338">
        <v>3.2</v>
      </c>
      <c r="AF10" s="401">
        <f>AD10*AE10*J10</f>
        <v>381.24799999999999</v>
      </c>
      <c r="AH10" s="351"/>
      <c r="AI10" s="351"/>
    </row>
    <row r="11" spans="2:35" ht="15.75">
      <c r="B11" s="840" t="s">
        <v>592</v>
      </c>
      <c r="C11" s="841"/>
      <c r="D11" s="841"/>
      <c r="E11" s="841"/>
      <c r="F11" s="841"/>
      <c r="G11" s="841"/>
      <c r="H11" s="841"/>
      <c r="I11" s="841"/>
      <c r="J11" s="841"/>
      <c r="K11" s="841"/>
      <c r="L11" s="841"/>
      <c r="M11" s="841"/>
      <c r="N11" s="841"/>
      <c r="O11" s="841"/>
      <c r="P11" s="841"/>
      <c r="Q11" s="841"/>
      <c r="R11" s="841"/>
      <c r="S11" s="841"/>
      <c r="T11" s="841"/>
      <c r="U11" s="841"/>
      <c r="V11" s="841"/>
      <c r="W11" s="841"/>
      <c r="X11" s="841"/>
      <c r="Y11" s="842"/>
      <c r="Z11" s="352"/>
      <c r="AA11" s="352"/>
      <c r="AD11" s="351"/>
      <c r="AF11" s="350"/>
      <c r="AG11" s="351"/>
      <c r="AH11" s="351"/>
    </row>
    <row r="12" spans="2:35" ht="16.5" thickBot="1">
      <c r="B12" s="840"/>
      <c r="C12" s="841"/>
      <c r="D12" s="841"/>
      <c r="E12" s="841"/>
      <c r="F12" s="841"/>
      <c r="G12" s="841"/>
      <c r="H12" s="841"/>
      <c r="I12" s="841"/>
      <c r="J12" s="841"/>
      <c r="K12" s="841"/>
      <c r="L12" s="841"/>
      <c r="M12" s="841"/>
      <c r="N12" s="841"/>
      <c r="O12" s="841"/>
      <c r="P12" s="841"/>
      <c r="Q12" s="841"/>
      <c r="R12" s="841"/>
      <c r="S12" s="841"/>
      <c r="T12" s="841"/>
      <c r="U12" s="841"/>
      <c r="V12" s="841"/>
      <c r="W12" s="841"/>
      <c r="X12" s="841"/>
      <c r="Y12" s="842"/>
      <c r="Z12" s="352"/>
      <c r="AA12" s="352"/>
      <c r="AD12" s="351"/>
      <c r="AF12" s="350"/>
      <c r="AG12" s="351"/>
      <c r="AH12" s="351"/>
    </row>
    <row r="13" spans="2:35">
      <c r="B13" s="353"/>
      <c r="C13" s="418"/>
      <c r="D13" s="419"/>
      <c r="E13" s="418"/>
      <c r="F13" s="420"/>
      <c r="G13" s="419"/>
      <c r="H13" s="354"/>
      <c r="I13" s="843" t="s">
        <v>593</v>
      </c>
      <c r="J13" s="844"/>
      <c r="K13" s="420"/>
      <c r="L13" s="420"/>
      <c r="M13" s="420"/>
      <c r="N13" s="420"/>
      <c r="O13" s="354"/>
      <c r="P13" s="356"/>
      <c r="Q13" s="355"/>
      <c r="R13" s="421"/>
      <c r="S13" s="355" t="s">
        <v>594</v>
      </c>
      <c r="T13" s="355">
        <f>SUM(T9:T9)</f>
        <v>0</v>
      </c>
      <c r="U13" s="356" t="s">
        <v>8</v>
      </c>
      <c r="V13" s="357" t="s">
        <v>595</v>
      </c>
      <c r="W13" s="358" t="s">
        <v>190</v>
      </c>
      <c r="X13" s="358" t="s">
        <v>584</v>
      </c>
      <c r="Y13" s="359" t="s">
        <v>596</v>
      </c>
      <c r="Z13" s="360"/>
      <c r="AA13" s="360"/>
    </row>
    <row r="14" spans="2:35">
      <c r="B14" s="361" t="s">
        <v>597</v>
      </c>
      <c r="C14" s="849" t="str">
        <f>C9</f>
        <v>BSTC Ø 1,50</v>
      </c>
      <c r="D14" s="850"/>
      <c r="E14" s="362">
        <f>J9</f>
        <v>14</v>
      </c>
      <c r="F14" s="404" t="s">
        <v>8</v>
      </c>
      <c r="G14" s="363"/>
      <c r="H14" s="404"/>
      <c r="I14" s="845"/>
      <c r="J14" s="846"/>
      <c r="K14" s="851" t="s">
        <v>610</v>
      </c>
      <c r="L14" s="851"/>
      <c r="M14" s="405">
        <v>2</v>
      </c>
      <c r="N14" s="406" t="s">
        <v>598</v>
      </c>
      <c r="O14" s="404"/>
      <c r="P14" s="852"/>
      <c r="Q14" s="852"/>
      <c r="R14" s="853"/>
      <c r="S14" s="407"/>
      <c r="T14" s="407"/>
      <c r="U14" s="407"/>
      <c r="V14" s="364" t="s">
        <v>114</v>
      </c>
      <c r="W14" s="408" t="s">
        <v>574</v>
      </c>
      <c r="X14" s="408" t="s">
        <v>574</v>
      </c>
      <c r="Y14" s="365" t="s">
        <v>574</v>
      </c>
      <c r="Z14" s="360"/>
      <c r="AA14" s="360"/>
    </row>
    <row r="15" spans="2:35">
      <c r="B15" s="361"/>
      <c r="C15" s="849" t="s">
        <v>651</v>
      </c>
      <c r="D15" s="850"/>
      <c r="E15" s="362">
        <f>J10</f>
        <v>14</v>
      </c>
      <c r="F15" s="404" t="s">
        <v>8</v>
      </c>
      <c r="G15" s="363"/>
      <c r="H15" s="404"/>
      <c r="I15" s="845"/>
      <c r="J15" s="846"/>
      <c r="K15" s="851" t="s">
        <v>651</v>
      </c>
      <c r="L15" s="851"/>
      <c r="M15" s="405">
        <v>2</v>
      </c>
      <c r="N15" s="406" t="s">
        <v>598</v>
      </c>
      <c r="O15" s="404"/>
      <c r="P15" s="409"/>
      <c r="Q15" s="409"/>
      <c r="R15" s="548"/>
      <c r="S15" s="407"/>
      <c r="T15" s="407"/>
      <c r="U15" s="407"/>
      <c r="V15" s="364"/>
      <c r="W15" s="408"/>
      <c r="X15" s="408"/>
      <c r="Y15" s="365"/>
      <c r="Z15" s="360"/>
      <c r="AA15" s="360"/>
    </row>
    <row r="16" spans="2:35" ht="13.5" thickBot="1">
      <c r="B16" s="422"/>
      <c r="C16" s="854"/>
      <c r="D16" s="855"/>
      <c r="E16" s="423"/>
      <c r="F16" s="424"/>
      <c r="G16" s="425"/>
      <c r="H16" s="424"/>
      <c r="I16" s="847"/>
      <c r="J16" s="848"/>
      <c r="K16" s="857"/>
      <c r="L16" s="857"/>
      <c r="M16" s="426"/>
      <c r="N16" s="427"/>
      <c r="O16" s="424"/>
      <c r="P16" s="858"/>
      <c r="Q16" s="858"/>
      <c r="R16" s="859"/>
      <c r="S16" s="426" t="s">
        <v>599</v>
      </c>
      <c r="T16" s="426">
        <v>33</v>
      </c>
      <c r="U16" s="427" t="s">
        <v>598</v>
      </c>
      <c r="V16" s="428">
        <f>V9</f>
        <v>64.399999999999991</v>
      </c>
      <c r="W16" s="429">
        <f>W9+W10</f>
        <v>525.22568000000001</v>
      </c>
      <c r="X16" s="429">
        <f>X9+X10</f>
        <v>336.86967999999996</v>
      </c>
      <c r="Y16" s="430">
        <f>Y9+Y10</f>
        <v>188.35599999999999</v>
      </c>
      <c r="Z16" s="360"/>
      <c r="AA16" s="360"/>
    </row>
    <row r="17" spans="2:27">
      <c r="B17" s="370"/>
      <c r="C17" s="411"/>
      <c r="D17" s="411"/>
      <c r="E17" s="412"/>
      <c r="F17" s="404"/>
      <c r="G17" s="404"/>
      <c r="H17" s="404"/>
      <c r="I17" s="413"/>
      <c r="J17" s="413"/>
      <c r="K17" s="414"/>
      <c r="L17" s="414"/>
      <c r="M17" s="409"/>
      <c r="N17" s="406"/>
      <c r="O17" s="404"/>
      <c r="P17" s="409"/>
      <c r="Q17" s="409"/>
      <c r="R17" s="409"/>
      <c r="S17" s="409"/>
      <c r="T17" s="409"/>
      <c r="U17" s="406"/>
      <c r="V17" s="410"/>
      <c r="W17" s="410"/>
      <c r="X17" s="410"/>
      <c r="Y17" s="369"/>
      <c r="Z17" s="360"/>
      <c r="AA17" s="360"/>
    </row>
    <row r="18" spans="2:27">
      <c r="B18" s="370"/>
      <c r="C18" s="411"/>
      <c r="D18" s="411"/>
      <c r="E18" s="412"/>
      <c r="F18" s="404"/>
      <c r="G18" s="404"/>
      <c r="H18" s="404"/>
      <c r="I18" s="413"/>
      <c r="J18" s="413"/>
      <c r="K18" s="414"/>
      <c r="L18" s="414"/>
      <c r="M18" s="409"/>
      <c r="N18" s="406"/>
      <c r="O18" s="404"/>
      <c r="P18" s="409"/>
      <c r="Q18" s="409"/>
      <c r="R18" s="409"/>
      <c r="S18" s="409"/>
      <c r="T18" s="409"/>
      <c r="U18" s="406"/>
      <c r="V18" s="410"/>
      <c r="W18" s="410"/>
      <c r="X18" s="410"/>
      <c r="Y18" s="369"/>
      <c r="Z18" s="360"/>
      <c r="AA18" s="360"/>
    </row>
    <row r="19" spans="2:27">
      <c r="B19" s="370"/>
      <c r="C19" s="411"/>
      <c r="D19" s="411"/>
      <c r="E19" s="412"/>
      <c r="F19" s="404"/>
      <c r="G19" s="404"/>
      <c r="H19" s="404"/>
      <c r="I19" s="413"/>
      <c r="J19" s="413"/>
      <c r="K19" s="414"/>
      <c r="L19" s="414"/>
      <c r="M19" s="409"/>
      <c r="N19" s="406"/>
      <c r="O19" s="404"/>
      <c r="P19" s="409"/>
      <c r="Q19" s="409"/>
      <c r="R19" s="409"/>
      <c r="S19" s="409"/>
      <c r="T19" s="409"/>
      <c r="U19" s="406"/>
      <c r="V19" s="410"/>
      <c r="W19" s="410"/>
      <c r="X19" s="410"/>
      <c r="Y19" s="369"/>
      <c r="Z19" s="360"/>
      <c r="AA19" s="360"/>
    </row>
    <row r="20" spans="2:27">
      <c r="B20" s="371"/>
      <c r="C20" s="372"/>
      <c r="D20" s="372"/>
      <c r="E20" s="373"/>
      <c r="F20" s="366"/>
      <c r="G20" s="366"/>
      <c r="H20" s="366"/>
      <c r="I20" s="374"/>
      <c r="J20" s="374"/>
      <c r="K20" s="375"/>
      <c r="L20" s="375"/>
      <c r="M20" s="367"/>
      <c r="N20" s="368"/>
      <c r="O20" s="366"/>
      <c r="P20" s="367"/>
      <c r="Q20" s="367"/>
      <c r="R20" s="367"/>
      <c r="S20" s="367"/>
      <c r="T20" s="367"/>
      <c r="U20" s="368"/>
      <c r="V20" s="376"/>
      <c r="W20" s="376"/>
      <c r="X20" s="376"/>
      <c r="Y20" s="377"/>
      <c r="Z20" s="360"/>
      <c r="AA20" s="360"/>
    </row>
    <row r="21" spans="2:27">
      <c r="B21" s="378"/>
      <c r="C21" s="860" t="s">
        <v>600</v>
      </c>
      <c r="D21" s="860"/>
      <c r="E21" s="861"/>
      <c r="F21" s="862" t="s">
        <v>601</v>
      </c>
      <c r="G21" s="863"/>
      <c r="H21" s="863"/>
      <c r="I21" s="863"/>
      <c r="J21" s="863"/>
      <c r="K21" s="863"/>
      <c r="L21" s="863"/>
      <c r="M21" s="863"/>
      <c r="N21" s="379"/>
      <c r="O21" s="379"/>
      <c r="P21" s="379"/>
      <c r="Q21" s="379"/>
      <c r="R21" s="379"/>
      <c r="S21" s="379"/>
      <c r="T21" s="379"/>
      <c r="U21" s="379"/>
      <c r="V21" s="379"/>
      <c r="X21" s="380"/>
      <c r="Y21" s="381"/>
      <c r="Z21" s="380"/>
      <c r="AA21" s="337"/>
    </row>
    <row r="22" spans="2:27">
      <c r="B22" s="378"/>
      <c r="C22" s="839" t="s">
        <v>602</v>
      </c>
      <c r="D22" s="415"/>
      <c r="E22" s="382"/>
      <c r="F22" s="383" t="s">
        <v>603</v>
      </c>
      <c r="G22" s="416"/>
      <c r="H22" s="416"/>
      <c r="I22" s="417"/>
      <c r="J22" s="416"/>
      <c r="K22" s="416"/>
      <c r="L22" s="416"/>
      <c r="M22" s="416"/>
      <c r="O22" s="416"/>
      <c r="P22" s="416"/>
      <c r="Q22" s="416"/>
      <c r="R22" s="416"/>
      <c r="S22" s="416"/>
      <c r="T22" s="416"/>
      <c r="U22" s="416"/>
      <c r="V22" s="416"/>
      <c r="X22" s="380"/>
      <c r="Y22" s="381"/>
      <c r="Z22" s="380"/>
      <c r="AA22" s="337"/>
    </row>
    <row r="23" spans="2:27">
      <c r="B23" s="384"/>
      <c r="C23" s="839"/>
      <c r="D23" s="417"/>
      <c r="E23" s="385"/>
      <c r="F23" s="383" t="s">
        <v>604</v>
      </c>
      <c r="G23" s="416"/>
      <c r="H23" s="416"/>
      <c r="I23" s="417"/>
      <c r="J23" s="416" t="s">
        <v>605</v>
      </c>
      <c r="L23" s="417"/>
      <c r="M23" s="417"/>
      <c r="N23" s="416"/>
      <c r="O23" s="416"/>
      <c r="P23" s="416"/>
      <c r="Q23" s="416"/>
      <c r="R23" s="416"/>
      <c r="S23" s="416"/>
      <c r="T23" s="416"/>
      <c r="U23" s="416"/>
      <c r="V23" s="416"/>
      <c r="X23" s="386"/>
      <c r="Y23" s="387"/>
      <c r="Z23" s="386"/>
      <c r="AA23" s="388"/>
    </row>
    <row r="24" spans="2:27" ht="13.5" thickBot="1">
      <c r="B24" s="389"/>
      <c r="C24" s="390" t="s">
        <v>606</v>
      </c>
      <c r="D24" s="390"/>
      <c r="E24" s="391"/>
      <c r="F24" s="392" t="s">
        <v>607</v>
      </c>
      <c r="G24" s="393"/>
      <c r="H24" s="393"/>
      <c r="I24" s="390"/>
      <c r="J24" s="393" t="s">
        <v>608</v>
      </c>
      <c r="K24" s="394"/>
      <c r="L24" s="390"/>
      <c r="M24" s="390"/>
      <c r="N24" s="393"/>
      <c r="O24" s="393"/>
      <c r="P24" s="393"/>
      <c r="Q24" s="393"/>
      <c r="R24" s="393"/>
      <c r="S24" s="393"/>
      <c r="T24" s="393"/>
      <c r="U24" s="393"/>
      <c r="V24" s="393"/>
      <c r="W24" s="394"/>
      <c r="X24" s="395"/>
      <c r="Y24" s="396"/>
      <c r="Z24" s="386"/>
      <c r="AA24" s="388"/>
    </row>
    <row r="25" spans="2:27">
      <c r="B25" s="397"/>
      <c r="C25" s="398"/>
      <c r="D25" s="398"/>
      <c r="E25" s="398"/>
      <c r="F25" s="398"/>
      <c r="G25" s="398"/>
      <c r="H25" s="398"/>
      <c r="I25" s="398"/>
      <c r="J25" s="379"/>
      <c r="K25" s="379"/>
      <c r="L25" s="398"/>
      <c r="M25" s="398"/>
      <c r="N25" s="379"/>
      <c r="O25" s="379"/>
      <c r="P25" s="379"/>
      <c r="Q25" s="398"/>
      <c r="R25" s="398"/>
      <c r="S25" s="398"/>
      <c r="T25" s="398"/>
      <c r="U25" s="398"/>
      <c r="V25" s="398"/>
      <c r="W25" s="398"/>
      <c r="X25" s="398"/>
      <c r="Y25" s="398"/>
      <c r="Z25" s="398"/>
      <c r="AA25" s="397"/>
    </row>
    <row r="26" spans="2:27">
      <c r="B26" s="397"/>
      <c r="C26" s="397"/>
      <c r="D26" s="397"/>
      <c r="E26" s="397"/>
      <c r="F26" s="397"/>
      <c r="G26" s="397"/>
      <c r="H26" s="397"/>
      <c r="I26" s="397"/>
      <c r="J26" s="397"/>
      <c r="K26" s="397"/>
      <c r="L26" s="399"/>
      <c r="M26" s="399"/>
      <c r="N26" s="399"/>
      <c r="O26" s="397"/>
      <c r="P26" s="397"/>
      <c r="Q26" s="397"/>
      <c r="R26" s="397"/>
      <c r="S26" s="397"/>
      <c r="T26" s="397"/>
      <c r="U26" s="397"/>
      <c r="V26" s="397"/>
      <c r="W26" s="397"/>
      <c r="X26" s="397"/>
      <c r="Y26" s="397"/>
    </row>
  </sheetData>
  <mergeCells count="34">
    <mergeCell ref="C15:D15"/>
    <mergeCell ref="K15:L15"/>
    <mergeCell ref="K16:L16"/>
    <mergeCell ref="P16:R16"/>
    <mergeCell ref="C21:E21"/>
    <mergeCell ref="F21:I21"/>
    <mergeCell ref="J21:M21"/>
    <mergeCell ref="C22:C23"/>
    <mergeCell ref="K6:L6"/>
    <mergeCell ref="W6:X6"/>
    <mergeCell ref="K7:L7"/>
    <mergeCell ref="W7:X7"/>
    <mergeCell ref="B11:Y12"/>
    <mergeCell ref="I13:J16"/>
    <mergeCell ref="C14:D14"/>
    <mergeCell ref="K14:L14"/>
    <mergeCell ref="P14:R14"/>
    <mergeCell ref="C16:D16"/>
    <mergeCell ref="N5:O7"/>
    <mergeCell ref="P5:P8"/>
    <mergeCell ref="Q5:Q8"/>
    <mergeCell ref="V5:V7"/>
    <mergeCell ref="W5:X5"/>
    <mergeCell ref="Y5:Y7"/>
    <mergeCell ref="B2:Y4"/>
    <mergeCell ref="B5:B8"/>
    <mergeCell ref="C5:C8"/>
    <mergeCell ref="D5:D8"/>
    <mergeCell ref="E5:E8"/>
    <mergeCell ref="F5:F8"/>
    <mergeCell ref="G5:G8"/>
    <mergeCell ref="H5:J7"/>
    <mergeCell ref="K5:L5"/>
    <mergeCell ref="M5:M8"/>
  </mergeCells>
  <printOptions horizontalCentered="1"/>
  <pageMargins left="0.47244094488188981" right="0.19685039370078741" top="0.55118110236220474" bottom="0.11811023622047245" header="0.35433070866141736" footer="0.11811023622047245"/>
  <pageSetup paperSize="8" scale="65" orientation="landscape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8">
    <tabColor rgb="FF00B050"/>
    <pageSetUpPr fitToPage="1"/>
  </sheetPr>
  <dimension ref="B1:Z23"/>
  <sheetViews>
    <sheetView zoomScaleNormal="100" workbookViewId="0">
      <pane ySplit="6" topLeftCell="A7" activePane="bottomLeft" state="frozen"/>
      <selection activeCell="I13" sqref="I13"/>
      <selection pane="bottomLeft" activeCell="H13" sqref="H13"/>
    </sheetView>
  </sheetViews>
  <sheetFormatPr defaultColWidth="9.140625" defaultRowHeight="15"/>
  <cols>
    <col min="1" max="1" width="8.42578125" style="123" customWidth="1"/>
    <col min="2" max="2" width="41.28515625" style="123" bestFit="1" customWidth="1"/>
    <col min="3" max="3" width="5.7109375" style="123" customWidth="1"/>
    <col min="4" max="4" width="5.7109375" style="125" customWidth="1"/>
    <col min="5" max="5" width="7.7109375" style="126" customWidth="1"/>
    <col min="6" max="7" width="5.7109375" style="125" customWidth="1"/>
    <col min="8" max="8" width="7.7109375" style="127" customWidth="1"/>
    <col min="9" max="9" width="13.7109375" style="123" customWidth="1"/>
    <col min="10" max="10" width="8.85546875" style="123" customWidth="1"/>
    <col min="11" max="12" width="8" style="123" customWidth="1"/>
    <col min="13" max="13" width="9.28515625" style="123" customWidth="1"/>
    <col min="14" max="14" width="12.42578125" style="123" customWidth="1"/>
    <col min="15" max="15" width="13.7109375" style="123" customWidth="1"/>
    <col min="16" max="16" width="12.7109375" style="123" bestFit="1" customWidth="1"/>
    <col min="17" max="18" width="14.28515625" style="123" customWidth="1"/>
    <col min="19" max="19" width="12.7109375" style="123" customWidth="1"/>
    <col min="20" max="20" width="12.28515625" style="123" bestFit="1" customWidth="1"/>
    <col min="21" max="21" width="14.7109375" style="123" customWidth="1"/>
    <col min="22" max="22" width="12.42578125" style="123" customWidth="1"/>
    <col min="23" max="23" width="13" style="123" bestFit="1" customWidth="1"/>
    <col min="24" max="24" width="13.42578125" style="123" customWidth="1"/>
    <col min="25" max="25" width="9.140625" style="123"/>
    <col min="26" max="26" width="9.42578125" style="123" customWidth="1"/>
    <col min="27" max="16384" width="9.140625" style="123"/>
  </cols>
  <sheetData>
    <row r="1" spans="2:26" ht="15.75" thickBot="1"/>
    <row r="2" spans="2:26" s="122" customFormat="1" ht="30" customHeight="1">
      <c r="B2" s="881" t="s">
        <v>655</v>
      </c>
      <c r="C2" s="882"/>
      <c r="D2" s="882"/>
      <c r="E2" s="882"/>
      <c r="F2" s="882"/>
      <c r="G2" s="882"/>
      <c r="H2" s="882"/>
      <c r="I2" s="882"/>
      <c r="J2" s="882"/>
      <c r="K2" s="882"/>
      <c r="L2" s="882"/>
      <c r="M2" s="882"/>
      <c r="N2" s="882"/>
      <c r="O2" s="882"/>
      <c r="P2" s="882"/>
      <c r="Q2" s="882"/>
      <c r="R2" s="882"/>
      <c r="S2" s="882"/>
      <c r="T2" s="882"/>
      <c r="U2" s="882"/>
      <c r="V2" s="882"/>
      <c r="W2" s="882"/>
      <c r="X2" s="883"/>
    </row>
    <row r="3" spans="2:26" ht="30" customHeight="1">
      <c r="B3" s="884" t="s">
        <v>60</v>
      </c>
      <c r="C3" s="885"/>
      <c r="D3" s="885"/>
      <c r="E3" s="885"/>
      <c r="F3" s="885"/>
      <c r="G3" s="885"/>
      <c r="H3" s="885"/>
      <c r="I3" s="885"/>
      <c r="J3" s="885"/>
      <c r="K3" s="885"/>
      <c r="L3" s="885"/>
      <c r="M3" s="885"/>
      <c r="N3" s="885"/>
      <c r="O3" s="885"/>
      <c r="P3" s="885"/>
      <c r="Q3" s="885"/>
      <c r="R3" s="885"/>
      <c r="S3" s="885"/>
      <c r="T3" s="885"/>
      <c r="U3" s="885"/>
      <c r="V3" s="885"/>
      <c r="W3" s="885"/>
      <c r="X3" s="886"/>
    </row>
    <row r="4" spans="2:26" ht="19.5" customHeight="1">
      <c r="B4" s="887" t="s">
        <v>61</v>
      </c>
      <c r="C4" s="889" t="s">
        <v>62</v>
      </c>
      <c r="D4" s="890"/>
      <c r="E4" s="890"/>
      <c r="F4" s="890"/>
      <c r="G4" s="890"/>
      <c r="H4" s="891"/>
      <c r="I4" s="869" t="s">
        <v>63</v>
      </c>
      <c r="J4" s="872" t="s">
        <v>64</v>
      </c>
      <c r="K4" s="892"/>
      <c r="L4" s="892"/>
      <c r="M4" s="893"/>
      <c r="N4" s="869" t="s">
        <v>77</v>
      </c>
      <c r="O4" s="872" t="s">
        <v>3</v>
      </c>
      <c r="P4" s="873"/>
      <c r="Q4" s="869" t="s">
        <v>65</v>
      </c>
      <c r="R4" s="869" t="s">
        <v>250</v>
      </c>
      <c r="S4" s="869" t="s">
        <v>261</v>
      </c>
      <c r="T4" s="869" t="s">
        <v>266</v>
      </c>
      <c r="U4" s="869" t="s">
        <v>260</v>
      </c>
      <c r="V4" s="869" t="s">
        <v>264</v>
      </c>
      <c r="W4" s="869" t="s">
        <v>259</v>
      </c>
      <c r="X4" s="870" t="s">
        <v>66</v>
      </c>
    </row>
    <row r="5" spans="2:26" ht="31.5" customHeight="1">
      <c r="B5" s="888"/>
      <c r="C5" s="875" t="s">
        <v>67</v>
      </c>
      <c r="D5" s="876"/>
      <c r="E5" s="877"/>
      <c r="F5" s="875" t="s">
        <v>68</v>
      </c>
      <c r="G5" s="876"/>
      <c r="H5" s="877"/>
      <c r="I5" s="868"/>
      <c r="J5" s="874" t="s">
        <v>69</v>
      </c>
      <c r="K5" s="872" t="s">
        <v>70</v>
      </c>
      <c r="L5" s="893"/>
      <c r="M5" s="874" t="s">
        <v>69</v>
      </c>
      <c r="N5" s="867"/>
      <c r="O5" s="867" t="s">
        <v>262</v>
      </c>
      <c r="P5" s="867" t="s">
        <v>509</v>
      </c>
      <c r="Q5" s="867"/>
      <c r="R5" s="868"/>
      <c r="S5" s="868"/>
      <c r="T5" s="868"/>
      <c r="U5" s="868"/>
      <c r="V5" s="868"/>
      <c r="W5" s="868"/>
      <c r="X5" s="871"/>
    </row>
    <row r="6" spans="2:26" ht="16.5" thickBot="1">
      <c r="B6" s="888"/>
      <c r="C6" s="878"/>
      <c r="D6" s="879"/>
      <c r="E6" s="880"/>
      <c r="F6" s="878"/>
      <c r="G6" s="879"/>
      <c r="H6" s="880"/>
      <c r="I6" s="868"/>
      <c r="J6" s="868"/>
      <c r="K6" s="324" t="s">
        <v>71</v>
      </c>
      <c r="L6" s="324" t="s">
        <v>72</v>
      </c>
      <c r="M6" s="868"/>
      <c r="N6" s="867"/>
      <c r="O6" s="868"/>
      <c r="P6" s="868"/>
      <c r="Q6" s="867"/>
      <c r="R6" s="868"/>
      <c r="S6" s="868"/>
      <c r="T6" s="868"/>
      <c r="U6" s="868"/>
      <c r="V6" s="868"/>
      <c r="W6" s="868"/>
      <c r="X6" s="871"/>
    </row>
    <row r="7" spans="2:26" ht="30" customHeight="1" thickBot="1">
      <c r="B7" s="864" t="str">
        <f>B2</f>
        <v>BAIRRO: MAPIM</v>
      </c>
      <c r="C7" s="865"/>
      <c r="D7" s="865"/>
      <c r="E7" s="865"/>
      <c r="F7" s="865"/>
      <c r="G7" s="865"/>
      <c r="H7" s="865"/>
      <c r="I7" s="865"/>
      <c r="J7" s="865"/>
      <c r="K7" s="865"/>
      <c r="L7" s="865"/>
      <c r="M7" s="865"/>
      <c r="N7" s="865"/>
      <c r="O7" s="865"/>
      <c r="P7" s="865"/>
      <c r="Q7" s="865"/>
      <c r="R7" s="865"/>
      <c r="S7" s="865"/>
      <c r="T7" s="865"/>
      <c r="U7" s="865"/>
      <c r="V7" s="865"/>
      <c r="W7" s="865"/>
      <c r="X7" s="866"/>
    </row>
    <row r="8" spans="2:26" ht="30" customHeight="1">
      <c r="B8" s="280" t="s">
        <v>652</v>
      </c>
      <c r="C8" s="315">
        <v>0</v>
      </c>
      <c r="D8" s="316" t="s">
        <v>73</v>
      </c>
      <c r="E8" s="317">
        <v>0</v>
      </c>
      <c r="F8" s="318">
        <v>8</v>
      </c>
      <c r="G8" s="319" t="s">
        <v>73</v>
      </c>
      <c r="H8" s="320">
        <v>0</v>
      </c>
      <c r="I8" s="283">
        <f>(F8*20+H8)-(C8*20+E8)</f>
        <v>160</v>
      </c>
      <c r="J8" s="284">
        <v>0.5</v>
      </c>
      <c r="K8" s="284">
        <v>3.5</v>
      </c>
      <c r="L8" s="284">
        <v>3.5</v>
      </c>
      <c r="M8" s="284">
        <v>0</v>
      </c>
      <c r="N8" s="284">
        <f>I8*3</f>
        <v>480</v>
      </c>
      <c r="O8" s="285">
        <v>243.15</v>
      </c>
      <c r="P8" s="285">
        <v>407.96</v>
      </c>
      <c r="Q8" s="286">
        <f>INT((J8+K8+L8+M8)*I8*100+0.5)/100</f>
        <v>1200</v>
      </c>
      <c r="R8" s="287">
        <v>0</v>
      </c>
      <c r="S8" s="286">
        <v>0</v>
      </c>
      <c r="T8" s="286">
        <f>INT((J8+K8+L8+M8)*I8*0.2*100+0.5)/100</f>
        <v>240</v>
      </c>
      <c r="U8" s="286">
        <f>INT((K8-0.3+L8-0.3)*I8*100+0.5)/100</f>
        <v>1024</v>
      </c>
      <c r="V8" s="286">
        <f>INT(((K8-0.3+L8-0.3))*I8*100+0.5)/100</f>
        <v>1024</v>
      </c>
      <c r="W8" s="286">
        <f>U8*0.03</f>
        <v>30.72</v>
      </c>
      <c r="X8" s="288">
        <f>(I8*2)</f>
        <v>320</v>
      </c>
      <c r="Z8" s="124"/>
    </row>
    <row r="9" spans="2:26" ht="30" customHeight="1">
      <c r="B9" s="289"/>
      <c r="C9" s="293"/>
      <c r="D9" s="632"/>
      <c r="E9" s="294"/>
      <c r="F9" s="281"/>
      <c r="G9" s="290"/>
      <c r="H9" s="282"/>
      <c r="I9" s="291"/>
      <c r="J9" s="292"/>
      <c r="K9" s="292"/>
      <c r="L9" s="292"/>
      <c r="M9" s="292"/>
      <c r="N9" s="292"/>
      <c r="O9" s="295"/>
      <c r="P9" s="295"/>
      <c r="Q9" s="287"/>
      <c r="R9" s="287"/>
      <c r="S9" s="286"/>
      <c r="T9" s="286"/>
      <c r="U9" s="287"/>
      <c r="V9" s="287"/>
      <c r="W9" s="287"/>
      <c r="X9" s="288"/>
      <c r="Z9" s="124"/>
    </row>
    <row r="10" spans="2:26" ht="30" customHeight="1">
      <c r="B10" s="280" t="s">
        <v>653</v>
      </c>
      <c r="C10" s="296">
        <v>0</v>
      </c>
      <c r="D10" s="297" t="s">
        <v>73</v>
      </c>
      <c r="E10" s="298">
        <v>0</v>
      </c>
      <c r="F10" s="281">
        <v>3</v>
      </c>
      <c r="G10" s="290" t="s">
        <v>73</v>
      </c>
      <c r="H10" s="282">
        <v>17</v>
      </c>
      <c r="I10" s="283">
        <f>(F10*20+H10)-(C10*20+E10)</f>
        <v>77</v>
      </c>
      <c r="J10" s="284">
        <v>0.5</v>
      </c>
      <c r="K10" s="284">
        <v>3</v>
      </c>
      <c r="L10" s="284">
        <v>3</v>
      </c>
      <c r="M10" s="284">
        <v>0</v>
      </c>
      <c r="N10" s="284">
        <f>I10*3</f>
        <v>231</v>
      </c>
      <c r="O10" s="285">
        <v>213.31</v>
      </c>
      <c r="P10" s="285">
        <v>1.1499999999999999</v>
      </c>
      <c r="Q10" s="286">
        <f>INT((J10+K10+L10+M10)*I10*100+0.5)/100</f>
        <v>500.5</v>
      </c>
      <c r="R10" s="287">
        <v>0</v>
      </c>
      <c r="S10" s="286">
        <v>0</v>
      </c>
      <c r="T10" s="286">
        <f t="shared" ref="T10:T12" si="0">INT((J10+K10+L10+M10)*I10*0.2*100+0.5)/100</f>
        <v>100.1</v>
      </c>
      <c r="U10" s="286">
        <f>INT((K10-0.3+L10-0.3)*I10*100+0.5)/100</f>
        <v>415.8</v>
      </c>
      <c r="V10" s="286">
        <f>INT(((K10-0.3+L10-0.3))*I10*100+0.5)/100</f>
        <v>415.8</v>
      </c>
      <c r="W10" s="286">
        <f>U10*0.03</f>
        <v>12.474</v>
      </c>
      <c r="X10" s="288">
        <f>(I10*2)-(2*3.5*2)</f>
        <v>140</v>
      </c>
      <c r="Z10" s="124"/>
    </row>
    <row r="11" spans="2:26" ht="30" customHeight="1">
      <c r="B11" s="289"/>
      <c r="C11" s="293"/>
      <c r="D11" s="632"/>
      <c r="E11" s="294"/>
      <c r="F11" s="281"/>
      <c r="G11" s="290"/>
      <c r="H11" s="282"/>
      <c r="I11" s="291"/>
      <c r="J11" s="292"/>
      <c r="K11" s="292"/>
      <c r="L11" s="292"/>
      <c r="M11" s="292"/>
      <c r="N11" s="292"/>
      <c r="O11" s="295"/>
      <c r="P11" s="295"/>
      <c r="Q11" s="287"/>
      <c r="R11" s="287"/>
      <c r="S11" s="286"/>
      <c r="T11" s="286"/>
      <c r="U11" s="287"/>
      <c r="V11" s="287"/>
      <c r="W11" s="287"/>
      <c r="X11" s="288"/>
      <c r="Z11" s="124"/>
    </row>
    <row r="12" spans="2:26" ht="30" customHeight="1">
      <c r="B12" s="280" t="s">
        <v>654</v>
      </c>
      <c r="C12" s="296">
        <v>0</v>
      </c>
      <c r="D12" s="297" t="s">
        <v>73</v>
      </c>
      <c r="E12" s="298">
        <v>0</v>
      </c>
      <c r="F12" s="281">
        <v>13</v>
      </c>
      <c r="G12" s="290" t="s">
        <v>73</v>
      </c>
      <c r="H12" s="282">
        <v>8</v>
      </c>
      <c r="I12" s="283">
        <f>(F12*20+H12)-(C12*20+E12)</f>
        <v>268</v>
      </c>
      <c r="J12" s="284">
        <v>0.5</v>
      </c>
      <c r="K12" s="284">
        <v>3</v>
      </c>
      <c r="L12" s="284">
        <v>3</v>
      </c>
      <c r="M12" s="284">
        <v>0</v>
      </c>
      <c r="N12" s="284">
        <f>I12*3</f>
        <v>804</v>
      </c>
      <c r="O12" s="285">
        <v>593.38</v>
      </c>
      <c r="P12" s="285">
        <v>278.13</v>
      </c>
      <c r="Q12" s="286">
        <f>INT((J12+K12+L12+M12)*I12*100+0.5)/100</f>
        <v>1742</v>
      </c>
      <c r="R12" s="287">
        <v>0</v>
      </c>
      <c r="S12" s="286">
        <v>0</v>
      </c>
      <c r="T12" s="286">
        <f t="shared" si="0"/>
        <v>348.4</v>
      </c>
      <c r="U12" s="286">
        <f>INT((K12-0.3+L12-0.3)*I12*100+0.5)/100</f>
        <v>1447.2</v>
      </c>
      <c r="V12" s="286">
        <f>INT(((K12-0.3+L12-0.3))*I12*100+0.5)/100</f>
        <v>1447.2</v>
      </c>
      <c r="W12" s="286">
        <f>U12*0.03</f>
        <v>43.415999999999997</v>
      </c>
      <c r="X12" s="288">
        <f>(I12*2)-(2*3.5*1)</f>
        <v>529</v>
      </c>
      <c r="Z12" s="124"/>
    </row>
    <row r="13" spans="2:26" ht="30" customHeight="1">
      <c r="B13" s="549"/>
      <c r="C13" s="293"/>
      <c r="D13" s="629"/>
      <c r="E13" s="294"/>
      <c r="F13" s="550"/>
      <c r="G13" s="632"/>
      <c r="H13" s="551"/>
      <c r="I13" s="552"/>
      <c r="J13" s="553"/>
      <c r="K13" s="553"/>
      <c r="L13" s="553"/>
      <c r="M13" s="553"/>
      <c r="N13" s="553"/>
      <c r="O13" s="554"/>
      <c r="P13" s="554"/>
      <c r="Q13" s="555"/>
      <c r="R13" s="555"/>
      <c r="S13" s="555"/>
      <c r="T13" s="555"/>
      <c r="U13" s="555"/>
      <c r="V13" s="555"/>
      <c r="W13" s="555"/>
      <c r="X13" s="556"/>
      <c r="Z13" s="124"/>
    </row>
    <row r="14" spans="2:26" ht="30" customHeight="1">
      <c r="B14" s="280" t="s">
        <v>671</v>
      </c>
      <c r="C14" s="296">
        <v>4</v>
      </c>
      <c r="D14" s="297" t="s">
        <v>73</v>
      </c>
      <c r="E14" s="298">
        <v>15</v>
      </c>
      <c r="F14" s="627">
        <v>7</v>
      </c>
      <c r="G14" s="628" t="s">
        <v>73</v>
      </c>
      <c r="H14" s="631">
        <v>5</v>
      </c>
      <c r="I14" s="291">
        <f>(F14*20+H14)-(C14*20+E14)</f>
        <v>50</v>
      </c>
      <c r="J14" s="292">
        <v>0</v>
      </c>
      <c r="K14" s="292">
        <v>2</v>
      </c>
      <c r="L14" s="292">
        <v>2</v>
      </c>
      <c r="M14" s="292">
        <v>0</v>
      </c>
      <c r="N14" s="292">
        <f>I14*4</f>
        <v>200</v>
      </c>
      <c r="O14" s="630">
        <v>328.65</v>
      </c>
      <c r="P14" s="630">
        <v>0</v>
      </c>
      <c r="Q14" s="287">
        <v>0</v>
      </c>
      <c r="R14" s="287">
        <v>0</v>
      </c>
      <c r="S14" s="287">
        <v>0</v>
      </c>
      <c r="T14" s="287">
        <v>0</v>
      </c>
      <c r="U14" s="287">
        <v>0</v>
      </c>
      <c r="V14" s="287">
        <v>0</v>
      </c>
      <c r="W14" s="287">
        <f>U14*0.03</f>
        <v>0</v>
      </c>
      <c r="X14" s="288">
        <v>0</v>
      </c>
      <c r="Z14" s="124"/>
    </row>
    <row r="15" spans="2:26" ht="30" customHeight="1" thickBot="1">
      <c r="B15" s="549"/>
      <c r="C15" s="293"/>
      <c r="D15" s="629"/>
      <c r="E15" s="294"/>
      <c r="F15" s="550"/>
      <c r="G15" s="632"/>
      <c r="H15" s="551"/>
      <c r="I15" s="552"/>
      <c r="J15" s="553"/>
      <c r="K15" s="553"/>
      <c r="L15" s="553"/>
      <c r="M15" s="553"/>
      <c r="N15" s="553"/>
      <c r="O15" s="554"/>
      <c r="P15" s="554"/>
      <c r="Q15" s="555"/>
      <c r="R15" s="555"/>
      <c r="S15" s="555"/>
      <c r="T15" s="555"/>
      <c r="U15" s="555"/>
      <c r="V15" s="555"/>
      <c r="W15" s="555"/>
      <c r="X15" s="556"/>
      <c r="Z15" s="124"/>
    </row>
    <row r="16" spans="2:26" ht="30" customHeight="1" thickBot="1">
      <c r="B16" s="299" t="s">
        <v>267</v>
      </c>
      <c r="C16" s="300"/>
      <c r="D16" s="301"/>
      <c r="E16" s="302"/>
      <c r="F16" s="300"/>
      <c r="G16" s="303"/>
      <c r="H16" s="302"/>
      <c r="I16" s="304">
        <f>SUM(I8:I12)</f>
        <v>505</v>
      </c>
      <c r="J16" s="305"/>
      <c r="K16" s="305"/>
      <c r="L16" s="305"/>
      <c r="M16" s="305"/>
      <c r="N16" s="304">
        <f t="shared" ref="N16:X16" si="1">SUM(N8:N14)</f>
        <v>1715</v>
      </c>
      <c r="O16" s="304">
        <f t="shared" si="1"/>
        <v>1378.4900000000002</v>
      </c>
      <c r="P16" s="304">
        <f t="shared" si="1"/>
        <v>687.24</v>
      </c>
      <c r="Q16" s="304">
        <f t="shared" si="1"/>
        <v>3442.5</v>
      </c>
      <c r="R16" s="304">
        <f t="shared" si="1"/>
        <v>0</v>
      </c>
      <c r="S16" s="304">
        <f t="shared" si="1"/>
        <v>0</v>
      </c>
      <c r="T16" s="304">
        <f t="shared" si="1"/>
        <v>688.5</v>
      </c>
      <c r="U16" s="304">
        <f t="shared" si="1"/>
        <v>2887</v>
      </c>
      <c r="V16" s="304">
        <f t="shared" si="1"/>
        <v>2887</v>
      </c>
      <c r="W16" s="304">
        <f t="shared" si="1"/>
        <v>86.61</v>
      </c>
      <c r="X16" s="304">
        <f t="shared" si="1"/>
        <v>989</v>
      </c>
      <c r="Z16" s="124"/>
    </row>
    <row r="17" spans="8:26">
      <c r="Z17" s="124"/>
    </row>
    <row r="18" spans="8:26">
      <c r="H18" s="128" t="s">
        <v>251</v>
      </c>
      <c r="I18" s="557">
        <f>I16*(K8+L8)</f>
        <v>3535</v>
      </c>
    </row>
    <row r="19" spans="8:26">
      <c r="O19" s="127"/>
    </row>
    <row r="21" spans="8:26">
      <c r="I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</row>
    <row r="22" spans="8:26">
      <c r="I22" s="127"/>
    </row>
    <row r="23" spans="8:26">
      <c r="I23" s="129"/>
    </row>
  </sheetData>
  <mergeCells count="24">
    <mergeCell ref="B2:X2"/>
    <mergeCell ref="B3:X3"/>
    <mergeCell ref="B4:B6"/>
    <mergeCell ref="C4:H4"/>
    <mergeCell ref="I4:I6"/>
    <mergeCell ref="U4:U6"/>
    <mergeCell ref="F5:H6"/>
    <mergeCell ref="J4:M4"/>
    <mergeCell ref="T4:T6"/>
    <mergeCell ref="V4:V6"/>
    <mergeCell ref="S4:S6"/>
    <mergeCell ref="K5:L5"/>
    <mergeCell ref="W4:W6"/>
    <mergeCell ref="B7:X7"/>
    <mergeCell ref="O5:O6"/>
    <mergeCell ref="P5:P6"/>
    <mergeCell ref="Q4:Q6"/>
    <mergeCell ref="X4:X6"/>
    <mergeCell ref="N4:N6"/>
    <mergeCell ref="O4:P4"/>
    <mergeCell ref="R4:R6"/>
    <mergeCell ref="M5:M6"/>
    <mergeCell ref="C5:E6"/>
    <mergeCell ref="J5:J6"/>
  </mergeCells>
  <printOptions horizontalCentered="1"/>
  <pageMargins left="0.11811023622047245" right="0.11811023622047245" top="0.78740157480314965" bottom="0.39370078740157483" header="0.31496062992125984" footer="0.31496062992125984"/>
  <pageSetup paperSize="9" scale="5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9"/>
  <dimension ref="A1:M35"/>
  <sheetViews>
    <sheetView topLeftCell="A11" workbookViewId="0">
      <selection sqref="A1:I35"/>
    </sheetView>
  </sheetViews>
  <sheetFormatPr defaultColWidth="9.140625" defaultRowHeight="12.75"/>
  <cols>
    <col min="1" max="1" width="11.7109375" style="65" customWidth="1"/>
    <col min="2" max="2" width="37.42578125" style="65" customWidth="1"/>
    <col min="3" max="4" width="8" style="65" customWidth="1"/>
    <col min="5" max="5" width="15.7109375" style="65" customWidth="1"/>
    <col min="6" max="6" width="8" style="65" customWidth="1"/>
    <col min="7" max="8" width="15.5703125" style="65" customWidth="1"/>
    <col min="9" max="9" width="19.85546875" style="65" customWidth="1"/>
    <col min="10" max="16384" width="9.140625" style="65"/>
  </cols>
  <sheetData>
    <row r="1" spans="1:13" ht="15.75">
      <c r="A1" s="932" t="s">
        <v>97</v>
      </c>
      <c r="B1" s="933"/>
      <c r="C1" s="933"/>
      <c r="D1" s="933"/>
      <c r="E1" s="933"/>
      <c r="F1" s="933"/>
      <c r="G1" s="933"/>
      <c r="H1" s="933"/>
      <c r="I1" s="934"/>
    </row>
    <row r="2" spans="1:13" ht="16.5" thickBot="1">
      <c r="A2" s="956" t="str">
        <f>'TERRAP E PAVIM'!B2</f>
        <v>BAIRRO: MAPIM</v>
      </c>
      <c r="B2" s="957"/>
      <c r="C2" s="957"/>
      <c r="D2" s="957"/>
      <c r="E2" s="957"/>
      <c r="F2" s="957"/>
      <c r="G2" s="957"/>
      <c r="H2" s="957"/>
      <c r="I2" s="958"/>
    </row>
    <row r="3" spans="1:13" ht="12" customHeight="1">
      <c r="A3" s="950" t="str">
        <f>RESUMO!C43</f>
        <v>Rua Belga, Rua Março e Rua Julho</v>
      </c>
      <c r="B3" s="951"/>
      <c r="C3" s="951"/>
      <c r="D3" s="951"/>
      <c r="E3" s="951"/>
      <c r="F3" s="951"/>
      <c r="G3" s="951"/>
      <c r="H3" s="951"/>
      <c r="I3" s="952"/>
    </row>
    <row r="4" spans="1:13" ht="24.75" customHeight="1" thickBot="1">
      <c r="A4" s="953"/>
      <c r="B4" s="954"/>
      <c r="C4" s="954"/>
      <c r="D4" s="954"/>
      <c r="E4" s="954"/>
      <c r="F4" s="954"/>
      <c r="G4" s="954"/>
      <c r="H4" s="954"/>
      <c r="I4" s="955"/>
    </row>
    <row r="5" spans="1:13" ht="15" customHeight="1">
      <c r="A5" s="918" t="str">
        <f>QUANT!B6</f>
        <v>OBRA: PAVIMENTAÇÃO DE VIAS URBANAS</v>
      </c>
      <c r="B5" s="919"/>
      <c r="C5" s="919"/>
      <c r="D5" s="919"/>
      <c r="E5" s="919"/>
      <c r="F5" s="919"/>
      <c r="G5" s="919"/>
      <c r="H5" s="919"/>
      <c r="I5" s="920"/>
    </row>
    <row r="6" spans="1:13" ht="15" customHeight="1" thickBot="1">
      <c r="A6" s="923" t="s">
        <v>96</v>
      </c>
      <c r="B6" s="899"/>
      <c r="C6" s="899"/>
      <c r="D6" s="924"/>
      <c r="E6" s="899"/>
      <c r="F6" s="899"/>
      <c r="G6" s="924"/>
      <c r="H6" s="899"/>
      <c r="I6" s="925"/>
      <c r="M6" s="86"/>
    </row>
    <row r="7" spans="1:13" ht="16.5" customHeight="1">
      <c r="A7" s="944" t="s">
        <v>226</v>
      </c>
      <c r="B7" s="945"/>
      <c r="C7" s="945"/>
      <c r="D7" s="945"/>
      <c r="E7" s="945"/>
      <c r="F7" s="945"/>
      <c r="G7" s="945"/>
      <c r="H7" s="945"/>
      <c r="I7" s="946"/>
    </row>
    <row r="8" spans="1:13" ht="16.5" customHeight="1" thickBot="1">
      <c r="A8" s="947"/>
      <c r="B8" s="948"/>
      <c r="C8" s="948"/>
      <c r="D8" s="948"/>
      <c r="E8" s="948"/>
      <c r="F8" s="948"/>
      <c r="G8" s="948"/>
      <c r="H8" s="948"/>
      <c r="I8" s="949"/>
    </row>
    <row r="9" spans="1:13" ht="15">
      <c r="A9" s="921" t="s">
        <v>37</v>
      </c>
      <c r="B9" s="935" t="s">
        <v>0</v>
      </c>
      <c r="C9" s="936"/>
      <c r="D9" s="937"/>
      <c r="E9" s="66" t="s">
        <v>81</v>
      </c>
      <c r="F9" s="66" t="s">
        <v>82</v>
      </c>
      <c r="G9" s="66" t="s">
        <v>83</v>
      </c>
      <c r="H9" s="66" t="s">
        <v>84</v>
      </c>
      <c r="I9" s="67" t="s">
        <v>85</v>
      </c>
    </row>
    <row r="10" spans="1:13" ht="15.75" thickBot="1">
      <c r="A10" s="922"/>
      <c r="B10" s="938"/>
      <c r="C10" s="939"/>
      <c r="D10" s="940"/>
      <c r="E10" s="68" t="s">
        <v>86</v>
      </c>
      <c r="F10" s="68" t="s">
        <v>87</v>
      </c>
      <c r="G10" s="68" t="s">
        <v>87</v>
      </c>
      <c r="H10" s="68" t="s">
        <v>87</v>
      </c>
      <c r="I10" s="69" t="s">
        <v>87</v>
      </c>
    </row>
    <row r="11" spans="1:13" ht="15">
      <c r="A11" s="70" t="s">
        <v>50</v>
      </c>
      <c r="B11" s="941" t="s">
        <v>88</v>
      </c>
      <c r="C11" s="942"/>
      <c r="D11" s="943"/>
      <c r="E11" s="71">
        <f>SUM(E12:E15)</f>
        <v>6.080000000000001</v>
      </c>
      <c r="F11" s="71"/>
      <c r="G11" s="72"/>
      <c r="H11" s="73"/>
      <c r="I11" s="74"/>
    </row>
    <row r="12" spans="1:13" ht="15">
      <c r="A12" s="75" t="s">
        <v>51</v>
      </c>
      <c r="B12" s="904" t="s">
        <v>89</v>
      </c>
      <c r="C12" s="905"/>
      <c r="D12" s="906"/>
      <c r="E12" s="76">
        <v>4.01</v>
      </c>
      <c r="F12" s="76"/>
      <c r="G12" s="76"/>
      <c r="H12" s="77"/>
      <c r="I12" s="78"/>
    </row>
    <row r="13" spans="1:13" s="86" customFormat="1" ht="15">
      <c r="A13" s="79" t="s">
        <v>52</v>
      </c>
      <c r="B13" s="80" t="s">
        <v>136</v>
      </c>
      <c r="C13" s="81"/>
      <c r="D13" s="82"/>
      <c r="E13" s="83">
        <v>0.4</v>
      </c>
      <c r="F13" s="83"/>
      <c r="G13" s="83"/>
      <c r="H13" s="84"/>
      <c r="I13" s="85"/>
    </row>
    <row r="14" spans="1:13" ht="15">
      <c r="A14" s="75" t="s">
        <v>90</v>
      </c>
      <c r="B14" s="904" t="s">
        <v>79</v>
      </c>
      <c r="C14" s="905"/>
      <c r="D14" s="906"/>
      <c r="E14" s="76">
        <v>0.56000000000000005</v>
      </c>
      <c r="F14" s="76"/>
      <c r="G14" s="76"/>
      <c r="H14" s="77"/>
      <c r="I14" s="78"/>
    </row>
    <row r="15" spans="1:13" ht="15">
      <c r="A15" s="75" t="s">
        <v>135</v>
      </c>
      <c r="B15" s="904" t="s">
        <v>78</v>
      </c>
      <c r="C15" s="905"/>
      <c r="D15" s="906"/>
      <c r="E15" s="76">
        <v>1.1100000000000001</v>
      </c>
      <c r="F15" s="76"/>
      <c r="G15" s="76"/>
      <c r="H15" s="77"/>
      <c r="I15" s="78"/>
    </row>
    <row r="16" spans="1:13" ht="15">
      <c r="A16" s="87"/>
      <c r="B16" s="926"/>
      <c r="C16" s="927"/>
      <c r="D16" s="928"/>
      <c r="E16" s="88"/>
      <c r="F16" s="89"/>
      <c r="G16" s="88"/>
      <c r="H16" s="90"/>
      <c r="I16" s="91"/>
    </row>
    <row r="17" spans="1:9" ht="15">
      <c r="A17" s="92" t="s">
        <v>38</v>
      </c>
      <c r="B17" s="909" t="s">
        <v>91</v>
      </c>
      <c r="C17" s="905"/>
      <c r="D17" s="906"/>
      <c r="E17" s="93">
        <f>E18</f>
        <v>7.3</v>
      </c>
      <c r="F17" s="93"/>
      <c r="G17" s="76"/>
      <c r="H17" s="77"/>
      <c r="I17" s="78"/>
    </row>
    <row r="18" spans="1:9" ht="15">
      <c r="A18" s="75" t="s">
        <v>49</v>
      </c>
      <c r="B18" s="904" t="s">
        <v>92</v>
      </c>
      <c r="C18" s="905"/>
      <c r="D18" s="906"/>
      <c r="E18" s="76">
        <v>7.3</v>
      </c>
      <c r="F18" s="76"/>
      <c r="G18" s="76"/>
      <c r="H18" s="77"/>
      <c r="I18" s="78"/>
    </row>
    <row r="19" spans="1:9" ht="15">
      <c r="A19" s="94"/>
      <c r="B19" s="929"/>
      <c r="C19" s="930"/>
      <c r="D19" s="931"/>
      <c r="E19" s="95"/>
      <c r="F19" s="96"/>
      <c r="G19" s="95"/>
      <c r="H19" s="97"/>
      <c r="I19" s="98"/>
    </row>
    <row r="20" spans="1:9" ht="15">
      <c r="A20" s="92" t="s">
        <v>39</v>
      </c>
      <c r="B20" s="909" t="s">
        <v>93</v>
      </c>
      <c r="C20" s="905"/>
      <c r="D20" s="906"/>
      <c r="E20" s="93">
        <f>E21+E22+E24+E23</f>
        <v>5.65</v>
      </c>
      <c r="F20" s="93"/>
      <c r="G20" s="76"/>
      <c r="H20" s="99"/>
      <c r="I20" s="78"/>
    </row>
    <row r="21" spans="1:9" ht="15">
      <c r="A21" s="75" t="s">
        <v>47</v>
      </c>
      <c r="B21" s="904" t="s">
        <v>137</v>
      </c>
      <c r="C21" s="905"/>
      <c r="D21" s="906"/>
      <c r="E21" s="100">
        <v>0.65</v>
      </c>
      <c r="F21" s="76"/>
      <c r="G21" s="76"/>
      <c r="H21" s="99"/>
      <c r="I21" s="78"/>
    </row>
    <row r="22" spans="1:9" ht="15">
      <c r="A22" s="75" t="s">
        <v>40</v>
      </c>
      <c r="B22" s="904" t="s">
        <v>138</v>
      </c>
      <c r="C22" s="905"/>
      <c r="D22" s="906"/>
      <c r="E22" s="76">
        <v>3</v>
      </c>
      <c r="F22" s="76"/>
      <c r="G22" s="76"/>
      <c r="H22" s="99"/>
      <c r="I22" s="78"/>
    </row>
    <row r="23" spans="1:9" ht="15">
      <c r="A23" s="75" t="s">
        <v>56</v>
      </c>
      <c r="B23" s="904" t="s">
        <v>139</v>
      </c>
      <c r="C23" s="907"/>
      <c r="D23" s="908"/>
      <c r="E23" s="76">
        <v>2</v>
      </c>
      <c r="F23" s="76"/>
      <c r="G23" s="76"/>
      <c r="H23" s="99"/>
      <c r="I23" s="78"/>
    </row>
    <row r="24" spans="1:9" ht="15">
      <c r="A24" s="75" t="s">
        <v>57</v>
      </c>
      <c r="B24" s="904" t="s">
        <v>80</v>
      </c>
      <c r="C24" s="905"/>
      <c r="D24" s="906"/>
      <c r="E24" s="76">
        <v>0</v>
      </c>
      <c r="F24" s="76"/>
      <c r="G24" s="76"/>
      <c r="H24" s="77"/>
      <c r="I24" s="78"/>
    </row>
    <row r="25" spans="1:9">
      <c r="A25" s="75"/>
      <c r="B25" s="909" t="s">
        <v>94</v>
      </c>
      <c r="C25" s="905"/>
      <c r="D25" s="906"/>
      <c r="E25" s="101"/>
      <c r="F25" s="101"/>
      <c r="G25" s="102"/>
      <c r="H25" s="103"/>
      <c r="I25" s="104"/>
    </row>
    <row r="26" spans="1:9">
      <c r="A26" s="912" t="s">
        <v>95</v>
      </c>
      <c r="B26" s="913"/>
      <c r="C26" s="913"/>
      <c r="D26" s="914"/>
      <c r="E26" s="902">
        <f>TRUNC((((1+((E12+E13+E14)/100))*(1+((E15)/100))*(1+((E17/100)))/(1-((E21+E22+E23+E24)/100)))-1),4)</f>
        <v>0.20699999999999999</v>
      </c>
      <c r="F26" s="910"/>
      <c r="G26" s="910"/>
      <c r="H26" s="910"/>
      <c r="I26" s="900">
        <v>0</v>
      </c>
    </row>
    <row r="27" spans="1:9" ht="23.25" customHeight="1" thickBot="1">
      <c r="A27" s="915"/>
      <c r="B27" s="916"/>
      <c r="C27" s="916"/>
      <c r="D27" s="917"/>
      <c r="E27" s="903"/>
      <c r="F27" s="911"/>
      <c r="G27" s="911"/>
      <c r="H27" s="911"/>
      <c r="I27" s="901"/>
    </row>
    <row r="28" spans="1:9">
      <c r="A28" s="105"/>
      <c r="B28" s="106"/>
      <c r="C28" s="106"/>
      <c r="D28" s="106"/>
      <c r="E28" s="106"/>
      <c r="F28" s="107"/>
      <c r="G28" s="107"/>
      <c r="H28" s="107"/>
      <c r="I28" s="108"/>
    </row>
    <row r="29" spans="1:9" ht="12.75" customHeight="1">
      <c r="A29" s="109" t="s">
        <v>140</v>
      </c>
      <c r="B29" s="34"/>
      <c r="C29" s="86"/>
      <c r="D29" s="86"/>
      <c r="E29" s="86"/>
      <c r="F29" s="110"/>
      <c r="G29" s="111"/>
      <c r="H29" s="110"/>
      <c r="I29" s="112"/>
    </row>
    <row r="30" spans="1:9">
      <c r="A30" s="109"/>
      <c r="B30" s="86"/>
      <c r="C30" s="86"/>
      <c r="D30" s="86"/>
      <c r="E30" s="86"/>
      <c r="F30" s="110"/>
      <c r="G30" s="110"/>
      <c r="H30" s="110"/>
      <c r="I30" s="112"/>
    </row>
    <row r="31" spans="1:9" ht="15.75">
      <c r="A31" s="109"/>
      <c r="B31" s="86"/>
      <c r="C31" s="86"/>
      <c r="D31" s="86"/>
      <c r="E31" s="86"/>
      <c r="F31" s="110"/>
      <c r="G31" s="896"/>
      <c r="H31" s="896"/>
      <c r="I31" s="113"/>
    </row>
    <row r="32" spans="1:9" ht="15.75">
      <c r="A32" s="109"/>
      <c r="B32" s="894"/>
      <c r="C32" s="895"/>
      <c r="D32" s="895"/>
      <c r="E32" s="895"/>
      <c r="F32" s="114"/>
      <c r="G32" s="896"/>
      <c r="H32" s="896"/>
      <c r="I32" s="113"/>
    </row>
    <row r="33" spans="1:9" ht="15.75">
      <c r="A33" s="109"/>
      <c r="B33" s="895"/>
      <c r="C33" s="895"/>
      <c r="D33" s="895"/>
      <c r="E33" s="895"/>
      <c r="F33" s="110"/>
      <c r="G33" s="896"/>
      <c r="H33" s="896"/>
      <c r="I33" s="113"/>
    </row>
    <row r="34" spans="1:9" ht="15.75">
      <c r="A34" s="109"/>
      <c r="B34" s="898"/>
      <c r="C34" s="895"/>
      <c r="D34" s="895"/>
      <c r="E34" s="895"/>
      <c r="F34" s="110"/>
      <c r="G34" s="896"/>
      <c r="H34" s="897"/>
      <c r="I34" s="113"/>
    </row>
    <row r="35" spans="1:9" ht="13.5" thickBot="1">
      <c r="A35" s="115"/>
      <c r="B35" s="899"/>
      <c r="C35" s="899"/>
      <c r="D35" s="899"/>
      <c r="E35" s="899"/>
      <c r="F35" s="116"/>
      <c r="G35" s="117"/>
      <c r="H35" s="116"/>
      <c r="I35" s="118"/>
    </row>
  </sheetData>
  <mergeCells count="36">
    <mergeCell ref="A1:I1"/>
    <mergeCell ref="B12:D12"/>
    <mergeCell ref="B14:D14"/>
    <mergeCell ref="B9:D10"/>
    <mergeCell ref="B11:D11"/>
    <mergeCell ref="A7:I8"/>
    <mergeCell ref="A3:I4"/>
    <mergeCell ref="A2:I2"/>
    <mergeCell ref="B15:D15"/>
    <mergeCell ref="A5:I5"/>
    <mergeCell ref="A9:A10"/>
    <mergeCell ref="A6:C6"/>
    <mergeCell ref="B24:D24"/>
    <mergeCell ref="D6:F6"/>
    <mergeCell ref="G6:I6"/>
    <mergeCell ref="B16:D16"/>
    <mergeCell ref="B17:D17"/>
    <mergeCell ref="B18:D18"/>
    <mergeCell ref="B19:D19"/>
    <mergeCell ref="B20:D20"/>
    <mergeCell ref="B21:D21"/>
    <mergeCell ref="I26:I27"/>
    <mergeCell ref="E26:E27"/>
    <mergeCell ref="B22:D22"/>
    <mergeCell ref="B23:D23"/>
    <mergeCell ref="B25:D25"/>
    <mergeCell ref="H26:H27"/>
    <mergeCell ref="F26:F27"/>
    <mergeCell ref="G26:G27"/>
    <mergeCell ref="A26:D27"/>
    <mergeCell ref="B32:E33"/>
    <mergeCell ref="G33:G34"/>
    <mergeCell ref="H33:H34"/>
    <mergeCell ref="B34:E35"/>
    <mergeCell ref="G31:G32"/>
    <mergeCell ref="H31:H3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6</vt:i4>
      </vt:variant>
    </vt:vector>
  </HeadingPairs>
  <TitlesOfParts>
    <vt:vector size="21" baseType="lpstr">
      <vt:lpstr>RESUMO</vt:lpstr>
      <vt:lpstr>QUANT</vt:lpstr>
      <vt:lpstr>ORÇA </vt:lpstr>
      <vt:lpstr>TRANSP</vt:lpstr>
      <vt:lpstr>CFF</vt:lpstr>
      <vt:lpstr>MEMORIAL DE CALCULO</vt:lpstr>
      <vt:lpstr>NS Bueiros</vt:lpstr>
      <vt:lpstr>TERRAP E PAVIM</vt:lpstr>
      <vt:lpstr>BDI</vt:lpstr>
      <vt:lpstr>BDI DIFERENCIADO</vt:lpstr>
      <vt:lpstr>ALUGUEL</vt:lpstr>
      <vt:lpstr>COMP.</vt:lpstr>
      <vt:lpstr>REAJUSTAMENTO</vt:lpstr>
      <vt:lpstr>SN HOR1</vt:lpstr>
      <vt:lpstr>SN VERT1</vt:lpstr>
      <vt:lpstr>COMP.!Area_de_impressao</vt:lpstr>
      <vt:lpstr>'NS Bueiros'!Area_de_impressao</vt:lpstr>
      <vt:lpstr>'ORÇA '!Area_de_impressao</vt:lpstr>
      <vt:lpstr>QUANT!Area_de_impressao</vt:lpstr>
      <vt:lpstr>'ORÇA '!Titulos_de_impressao</vt:lpstr>
      <vt:lpstr>QUANT!Titulos_de_impressao</vt:lpstr>
    </vt:vector>
  </TitlesOfParts>
  <Company>ECP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ECP</dc:creator>
  <cp:lastModifiedBy>Aline Arantes Correa</cp:lastModifiedBy>
  <cp:lastPrinted>2022-10-09T15:28:40Z</cp:lastPrinted>
  <dcterms:created xsi:type="dcterms:W3CDTF">1997-03-06T18:55:11Z</dcterms:created>
  <dcterms:modified xsi:type="dcterms:W3CDTF">2023-11-09T12:11:59Z</dcterms:modified>
</cp:coreProperties>
</file>